
<file path=[Content_Types].xml><?xml version="1.0" encoding="utf-8"?>
<Types xmlns="http://schemas.openxmlformats.org/package/2006/content-types">
  <Default Extension="data" ContentType="application/vnd.openxmlformats-officedocument.model+data"/>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olliemadlala/Desktop/"/>
    </mc:Choice>
  </mc:AlternateContent>
  <xr:revisionPtr revIDLastSave="0" documentId="8_{F498CF56-43B2-9748-909D-83F6BD6C9F0C}" xr6:coauthVersionLast="47" xr6:coauthVersionMax="47" xr10:uidLastSave="{00000000-0000-0000-0000-000000000000}"/>
  <bookViews>
    <workbookView xWindow="0" yWindow="500" windowWidth="28800" windowHeight="16260" xr2:uid="{64554634-F9D6-4292-9F5E-D4FB5F4B6CC4}"/>
  </bookViews>
  <sheets>
    <sheet name="PivotTables" sheetId="27" r:id="rId1"/>
    <sheet name="Analysis - Dashboard" sheetId="28" r:id="rId2"/>
    <sheet name="DataTable - Overall " sheetId="16" r:id="rId3"/>
    <sheet name="EU-Register" sheetId="6" r:id="rId4"/>
    <sheet name="UK-Register" sheetId="7" r:id="rId5"/>
    <sheet name="GER-Register" sheetId="9" r:id="rId6"/>
    <sheet name="FR-Register" sheetId="10" r:id="rId7"/>
    <sheet name="US-Register" sheetId="15" r:id="rId8"/>
    <sheet name="ACTIP-Register" sheetId="13" r:id="rId9"/>
    <sheet name="DK-Register" sheetId="11" r:id="rId10"/>
    <sheet name="NL-Register" sheetId="14" r:id="rId11"/>
    <sheet name="CAN-Register" sheetId="12" r:id="rId12"/>
    <sheet name="Swiss-Register" sheetId="8" r:id="rId13"/>
    <sheet name="Dropdowns" sheetId="5" state="hidden" r:id="rId14"/>
    <sheet name="Financing Status" sheetId="26" r:id="rId15"/>
  </sheets>
  <definedNames>
    <definedName name="_xlcn.WorksheetConnection_PMUGrantMappingAnalyticsME.xlsxTable1" hidden="1">Table1</definedName>
  </definedNames>
  <calcPr calcId="191029"/>
  <pivotCaches>
    <pivotCache cacheId="1"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PMU Grant Mapping - Analytics - ME.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6" l="1"/>
  <c r="D23" i="26"/>
  <c r="H21" i="26"/>
  <c r="G21" i="26"/>
  <c r="F21" i="26"/>
  <c r="E21" i="26"/>
  <c r="D21" i="26"/>
  <c r="C21" i="26"/>
  <c r="H16" i="26"/>
  <c r="G14" i="26"/>
  <c r="G23" i="26" s="1"/>
  <c r="F14" i="26"/>
  <c r="F23" i="26" s="1"/>
  <c r="E14" i="26"/>
  <c r="D14" i="26"/>
  <c r="C14" i="26"/>
  <c r="C23" i="26" s="1"/>
  <c r="H13" i="26"/>
  <c r="H12" i="26"/>
  <c r="H11" i="26"/>
  <c r="H10" i="26"/>
  <c r="H9" i="26"/>
  <c r="H8" i="26"/>
  <c r="H7" i="26"/>
  <c r="H6" i="26"/>
  <c r="H5" i="26"/>
  <c r="H4" i="26"/>
  <c r="E5" i="16"/>
  <c r="H14" i="26" l="1"/>
  <c r="H23" i="26" s="1"/>
  <c r="D15" i="11"/>
  <c r="F15" i="11" s="1"/>
  <c r="D13" i="11"/>
  <c r="F13" i="11" s="1"/>
  <c r="E96" i="16"/>
  <c r="E95" i="16"/>
  <c r="E93" i="16"/>
  <c r="E94" i="16"/>
  <c r="E97" i="16"/>
  <c r="E98" i="16"/>
  <c r="E99" i="16"/>
  <c r="D18" i="10"/>
  <c r="F18" i="10" s="1"/>
  <c r="D19" i="10"/>
  <c r="F19" i="10" s="1"/>
  <c r="D20" i="10"/>
  <c r="F20" i="10" s="1"/>
  <c r="D21" i="10"/>
  <c r="F21" i="10" s="1"/>
  <c r="D22" i="10"/>
  <c r="F22" i="10" s="1"/>
  <c r="D23" i="10"/>
  <c r="F23" i="10" s="1"/>
  <c r="D17" i="10" l="1"/>
  <c r="F17" i="10" s="1"/>
  <c r="D14" i="10"/>
  <c r="F14" i="10" s="1"/>
  <c r="E134" i="16" l="1"/>
  <c r="E38" i="15"/>
  <c r="E167" i="16" l="1"/>
  <c r="E168" i="16"/>
  <c r="E57" i="16"/>
  <c r="D48" i="7"/>
  <c r="F48" i="7" s="1"/>
  <c r="D13" i="8" l="1"/>
  <c r="F13" i="8" s="1"/>
  <c r="D14" i="8"/>
  <c r="F14" i="8" s="1"/>
  <c r="E15" i="8"/>
  <c r="D169" i="16"/>
  <c r="E16" i="16" l="1"/>
  <c r="E17" i="16"/>
  <c r="E18" i="16"/>
  <c r="E19" i="16"/>
  <c r="E20" i="16"/>
  <c r="E21" i="16"/>
  <c r="E146" i="16" l="1"/>
  <c r="E147" i="16"/>
  <c r="D14" i="11"/>
  <c r="F14" i="11" s="1"/>
  <c r="D16" i="11"/>
  <c r="F16" i="11" s="1"/>
  <c r="E43" i="16" l="1"/>
  <c r="D34" i="7"/>
  <c r="F34" i="7" s="1"/>
  <c r="D18" i="9" l="1"/>
  <c r="E137" i="16" l="1"/>
  <c r="D5" i="11" l="1"/>
  <c r="D6" i="11"/>
  <c r="D7" i="11"/>
  <c r="D8" i="11"/>
  <c r="D9" i="11"/>
  <c r="D10" i="11"/>
  <c r="D11" i="11"/>
  <c r="D12" i="11"/>
  <c r="D4" i="11"/>
  <c r="D12" i="10"/>
  <c r="D12" i="8" l="1"/>
  <c r="E153" i="16" l="1"/>
  <c r="D9" i="14"/>
  <c r="F9" i="14" s="1"/>
  <c r="E133" i="16"/>
  <c r="E13" i="16"/>
  <c r="E14" i="16"/>
  <c r="E15" i="16"/>
  <c r="E22" i="16"/>
  <c r="E23" i="16"/>
  <c r="E24" i="16"/>
  <c r="E25" i="16"/>
  <c r="E26" i="16"/>
  <c r="E27" i="16"/>
  <c r="E28" i="16"/>
  <c r="E29" i="16"/>
  <c r="E30" i="16"/>
  <c r="E31" i="16"/>
  <c r="E32" i="16"/>
  <c r="E33" i="16"/>
  <c r="E34" i="16"/>
  <c r="E35" i="16"/>
  <c r="E36" i="16"/>
  <c r="E37" i="16"/>
  <c r="E38" i="16"/>
  <c r="E39" i="16"/>
  <c r="E40" i="16"/>
  <c r="E41" i="16"/>
  <c r="E42" i="16"/>
  <c r="E44" i="16"/>
  <c r="E45" i="16"/>
  <c r="E46" i="16"/>
  <c r="E47" i="16"/>
  <c r="E48" i="16"/>
  <c r="E49" i="16"/>
  <c r="E50" i="16"/>
  <c r="E51" i="16"/>
  <c r="E52" i="16"/>
  <c r="E53" i="16"/>
  <c r="E54" i="16"/>
  <c r="E55" i="16"/>
  <c r="E56" i="16"/>
  <c r="D46" i="7" l="1"/>
  <c r="F46" i="7" s="1"/>
  <c r="E37" i="15" l="1"/>
  <c r="E162" i="16"/>
  <c r="E163" i="16"/>
  <c r="E164" i="16"/>
  <c r="E165" i="16"/>
  <c r="E166" i="16"/>
  <c r="E79" i="16"/>
  <c r="E78" i="16"/>
  <c r="E58" i="16"/>
  <c r="E59" i="16"/>
  <c r="E60" i="16"/>
  <c r="E61" i="16"/>
  <c r="E62" i="16"/>
  <c r="E63" i="16"/>
  <c r="E64" i="16"/>
  <c r="E65" i="16"/>
  <c r="E66" i="16"/>
  <c r="E67" i="16"/>
  <c r="E68" i="16"/>
  <c r="E69" i="16"/>
  <c r="E70" i="16"/>
  <c r="E71" i="16"/>
  <c r="E72" i="16"/>
  <c r="E73" i="16"/>
  <c r="E74" i="16"/>
  <c r="E75" i="16"/>
  <c r="E76" i="16"/>
  <c r="E77" i="16"/>
  <c r="E80" i="16"/>
  <c r="E81" i="16"/>
  <c r="E82" i="16"/>
  <c r="E83" i="16"/>
  <c r="E84" i="16"/>
  <c r="E85" i="16"/>
  <c r="E86" i="16"/>
  <c r="E87" i="16"/>
  <c r="E88" i="16"/>
  <c r="E89" i="16"/>
  <c r="E90" i="16"/>
  <c r="E91" i="16"/>
  <c r="E92"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5" i="16"/>
  <c r="E136" i="16"/>
  <c r="E138" i="16"/>
  <c r="E139" i="16"/>
  <c r="E140" i="16"/>
  <c r="E141" i="16"/>
  <c r="E142" i="16"/>
  <c r="E143" i="16"/>
  <c r="E144" i="16"/>
  <c r="E145" i="16"/>
  <c r="E148" i="16"/>
  <c r="E149" i="16"/>
  <c r="E150" i="16"/>
  <c r="E151" i="16"/>
  <c r="E152" i="16"/>
  <c r="E154" i="16"/>
  <c r="E155" i="16"/>
  <c r="E156" i="16"/>
  <c r="E157" i="16"/>
  <c r="E158" i="16"/>
  <c r="E159" i="16"/>
  <c r="E160" i="16"/>
  <c r="E161" i="16"/>
  <c r="E6" i="16"/>
  <c r="E7" i="16"/>
  <c r="E8" i="16"/>
  <c r="E9" i="16"/>
  <c r="E10" i="16"/>
  <c r="E11" i="16"/>
  <c r="E12" i="16"/>
  <c r="E169" i="16" l="1"/>
  <c r="D47" i="7"/>
  <c r="F47" i="7" s="1"/>
  <c r="D43" i="7"/>
  <c r="F43" i="7" s="1"/>
  <c r="D42" i="7"/>
  <c r="F42" i="7" s="1"/>
  <c r="D35" i="7" l="1"/>
  <c r="F35" i="7" s="1"/>
  <c r="D36" i="7"/>
  <c r="F36" i="7" s="1"/>
  <c r="D10" i="6" l="1"/>
  <c r="F10" i="6" s="1"/>
  <c r="D24" i="9"/>
  <c r="F24" i="9" s="1"/>
  <c r="D23" i="9"/>
  <c r="F23" i="9" s="1"/>
  <c r="D16" i="9"/>
  <c r="F16" i="9" s="1"/>
  <c r="D17" i="9"/>
  <c r="F17" i="9" s="1"/>
  <c r="D12" i="9"/>
  <c r="F12" i="9" s="1"/>
  <c r="D9" i="9"/>
  <c r="F9" i="9" s="1"/>
  <c r="D4" i="9"/>
  <c r="F4" i="9" s="1"/>
  <c r="D39" i="7" l="1"/>
  <c r="F39" i="7" s="1"/>
  <c r="F8" i="6"/>
  <c r="D4" i="7" l="1"/>
  <c r="D25" i="9" l="1"/>
  <c r="F25" i="9" s="1"/>
  <c r="D4" i="8"/>
  <c r="D15" i="10"/>
  <c r="D45" i="7"/>
  <c r="D44" i="7"/>
  <c r="D31" i="7"/>
  <c r="D22" i="7"/>
  <c r="D5" i="7"/>
  <c r="F4" i="7"/>
  <c r="D5" i="14" l="1"/>
  <c r="F5" i="14" s="1"/>
  <c r="D4" i="14"/>
  <c r="D8" i="14"/>
  <c r="D6" i="14"/>
  <c r="F6" i="14" s="1"/>
  <c r="D7" i="14"/>
  <c r="F10" i="11" l="1"/>
  <c r="F11" i="11"/>
  <c r="F4" i="11"/>
  <c r="E5" i="13"/>
  <c r="E4" i="13"/>
  <c r="E8" i="12" l="1"/>
  <c r="D7" i="12"/>
  <c r="F7" i="12" s="1"/>
  <c r="D6" i="12"/>
  <c r="F6" i="12" s="1"/>
  <c r="D5" i="12"/>
  <c r="F5" i="12" s="1"/>
  <c r="D4" i="12"/>
  <c r="F4" i="12" s="1"/>
  <c r="E36"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4" i="15"/>
  <c r="F12" i="10" l="1"/>
  <c r="D13" i="10"/>
  <c r="F13" i="10" s="1"/>
  <c r="F15" i="10"/>
  <c r="D16" i="10"/>
  <c r="F16" i="10" s="1"/>
  <c r="D5" i="10"/>
  <c r="D6" i="10"/>
  <c r="D7" i="10"/>
  <c r="D8" i="10"/>
  <c r="D9" i="10"/>
  <c r="D10" i="10"/>
  <c r="D11" i="10"/>
  <c r="D4" i="10"/>
  <c r="F4" i="10" s="1"/>
  <c r="F5" i="10" l="1"/>
  <c r="F6" i="10"/>
  <c r="F7" i="10"/>
  <c r="F8" i="10"/>
  <c r="F9" i="10"/>
  <c r="F10" i="10"/>
  <c r="F11" i="10"/>
  <c r="D5" i="9"/>
  <c r="D6" i="9"/>
  <c r="D7" i="9"/>
  <c r="D8" i="9"/>
  <c r="D10" i="9"/>
  <c r="D11" i="9"/>
  <c r="D13" i="9"/>
  <c r="D14" i="9"/>
  <c r="D15" i="9"/>
  <c r="D19" i="9"/>
  <c r="D20" i="9"/>
  <c r="D21" i="9"/>
  <c r="D22" i="9"/>
  <c r="D11" i="6" l="1"/>
  <c r="D9" i="6"/>
  <c r="D7" i="6"/>
  <c r="D6" i="6"/>
  <c r="D5" i="6"/>
  <c r="D4" i="6"/>
  <c r="E10" i="14" l="1"/>
  <c r="F8" i="14"/>
  <c r="F4" i="14"/>
  <c r="F7" i="14"/>
  <c r="D6" i="7"/>
  <c r="F4" i="8" l="1"/>
  <c r="E39" i="15" l="1"/>
  <c r="D39" i="15"/>
  <c r="F5" i="11"/>
  <c r="F6" i="11"/>
  <c r="F7" i="11"/>
  <c r="F8" i="11"/>
  <c r="F9" i="11"/>
  <c r="F12" i="11"/>
  <c r="F12" i="8" l="1"/>
  <c r="E12" i="6" l="1"/>
  <c r="F44" i="7" l="1"/>
  <c r="F45" i="7"/>
  <c r="D37" i="7"/>
  <c r="D33" i="7"/>
  <c r="D32" i="7"/>
  <c r="F32" i="7" s="1"/>
  <c r="F31" i="7"/>
  <c r="D30" i="7"/>
  <c r="D29" i="7"/>
  <c r="D28" i="7"/>
  <c r="F28" i="7" s="1"/>
  <c r="D26" i="7"/>
  <c r="F26" i="7" s="1"/>
  <c r="D25" i="7"/>
  <c r="D24" i="7"/>
  <c r="D23" i="7"/>
  <c r="D21" i="7"/>
  <c r="D20" i="7"/>
  <c r="D19" i="7"/>
  <c r="F19" i="7" s="1"/>
  <c r="D18" i="7"/>
  <c r="D17" i="7" l="1"/>
  <c r="D16" i="7"/>
  <c r="D15" i="7"/>
  <c r="D14" i="7" l="1"/>
  <c r="D13" i="7"/>
  <c r="D12" i="7"/>
  <c r="F12" i="7" s="1"/>
  <c r="D11" i="7"/>
  <c r="D10" i="7"/>
  <c r="D9" i="7"/>
  <c r="F9" i="7" s="1"/>
  <c r="D8" i="7"/>
  <c r="D7" i="7"/>
  <c r="F6" i="7"/>
  <c r="E17" i="11" l="1"/>
  <c r="F17" i="11"/>
  <c r="E24" i="10"/>
  <c r="E26" i="9"/>
  <c r="D5" i="8"/>
  <c r="D6" i="8"/>
  <c r="D7" i="8"/>
  <c r="D8" i="8"/>
  <c r="D9" i="8"/>
  <c r="D10" i="8"/>
  <c r="D11" i="8"/>
  <c r="F10" i="14"/>
  <c r="D10" i="14"/>
  <c r="E6" i="13"/>
  <c r="D6" i="13"/>
  <c r="F8" i="12"/>
  <c r="D8" i="12"/>
  <c r="D15" i="8" l="1"/>
  <c r="D17" i="11"/>
  <c r="F5" i="7"/>
  <c r="F11" i="6"/>
  <c r="F9" i="6"/>
  <c r="F7" i="6"/>
  <c r="F6" i="6"/>
  <c r="F5" i="6"/>
  <c r="F4" i="6"/>
  <c r="F5" i="9"/>
  <c r="F6" i="9"/>
  <c r="F7" i="9"/>
  <c r="F8" i="9"/>
  <c r="F10" i="9"/>
  <c r="F11" i="9"/>
  <c r="F13" i="9"/>
  <c r="F14" i="9"/>
  <c r="F15" i="9"/>
  <c r="F18" i="9"/>
  <c r="F19" i="9"/>
  <c r="F20" i="9"/>
  <c r="F21" i="9"/>
  <c r="F22" i="9"/>
  <c r="F11" i="8"/>
  <c r="F5" i="8"/>
  <c r="F6" i="8"/>
  <c r="F7" i="8"/>
  <c r="F8" i="8"/>
  <c r="F9" i="8"/>
  <c r="F10" i="8"/>
  <c r="F24" i="10"/>
  <c r="D24" i="10"/>
  <c r="F15" i="8" l="1"/>
  <c r="F12" i="6"/>
  <c r="D26" i="9"/>
  <c r="F26" i="9"/>
  <c r="F7" i="7"/>
  <c r="F8" i="7"/>
  <c r="F10" i="7"/>
  <c r="F11" i="7"/>
  <c r="F13" i="7"/>
  <c r="F14" i="7"/>
  <c r="F15" i="7"/>
  <c r="F16" i="7"/>
  <c r="F17" i="7"/>
  <c r="F18" i="7"/>
  <c r="F20" i="7"/>
  <c r="F21" i="7"/>
  <c r="F22" i="7"/>
  <c r="F23" i="7"/>
  <c r="F24" i="7"/>
  <c r="F25" i="7"/>
  <c r="F29" i="7"/>
  <c r="F30" i="7"/>
  <c r="F33" i="7"/>
  <c r="F37" i="7"/>
  <c r="D12" i="6"/>
  <c r="D27" i="7" l="1"/>
  <c r="F27" i="7" l="1"/>
  <c r="E49" i="7" l="1"/>
  <c r="D38" i="7"/>
  <c r="F38" i="7" s="1"/>
  <c r="D41" i="7"/>
  <c r="F41" i="7" s="1"/>
  <c r="D40" i="7"/>
  <c r="F40" i="7" s="1"/>
  <c r="D49" i="7" l="1"/>
  <c r="F4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tc={EF776F8F-B24A-F34B-A4BD-123CD1E27B68}</author>
    <author>tc={1B9241C1-00DF-C348-BEC1-1E394A2806E6}</author>
    <author>tc={54CBC95A-3347-C443-B3BB-4BF31750A8AE}</author>
    <author>tc={D97DD1C8-FE74-0340-933A-D061E2068CC8}</author>
    <author>tc={02F9A3B5-991A-0D48-B0B5-6627600D856F}</author>
  </authors>
  <commentList>
    <comment ref="G2" authorId="0" shapeId="0" xr:uid="{EF776F8F-B24A-F34B-A4BD-123CD1E27B68}">
      <text>
        <t>[Threaded comment]
Your version of Excel allows you to read this threaded comment; however, any edits to it will get removed if the file is opened in a newer version of Excel. Learn more: https://go.microsoft.com/fwlink/?linkid=870924
Comment:
    UK; US; France; Germany; EU; ACT-IP</t>
      </text>
    </comment>
    <comment ref="K2" authorId="1" shapeId="0" xr:uid="{1B9241C1-00DF-C348-BEC1-1E394A2806E6}">
      <text>
        <t>[Threaded comment]
Your version of Excel allows you to read this threaded comment; however, any edits to it will get removed if the file is opened in a newer version of Excel. Learn more: https://go.microsoft.com/fwlink/?linkid=870924
Comment:
    Note with ‘Planned’ we don’t display the projects publicly but we do give the total</t>
      </text>
    </comment>
    <comment ref="G3" authorId="2" shapeId="0" xr:uid="{54CBC95A-3347-C443-B3BB-4BF31750A8AE}">
      <text>
        <t>[Threaded comment]
Your version of Excel allows you to read this threaded comment; however, any edits to it will get removed if the file is opened in a newer version of Excel. Learn more: https://go.microsoft.com/fwlink/?linkid=870924
Comment:
    Denmark and Netherlands</t>
      </text>
    </comment>
    <comment ref="G4" authorId="3" shapeId="0" xr:uid="{D97DD1C8-FE74-0340-933A-D061E2068CC8}">
      <text>
        <t>[Threaded comment]
Your version of Excel allows you to read this threaded comment; however, any edits to it will get removed if the file is opened in a newer version of Excel. Learn more: https://go.microsoft.com/fwlink/?linkid=870924
Comment:
    Canada and Spain</t>
      </text>
    </comment>
    <comment ref="G5" authorId="4" shapeId="0" xr:uid="{02F9A3B5-991A-0D48-B0B5-6627600D856F}">
      <text>
        <t>[Threaded comment]
Your version of Excel allows you to read this threaded comment; however, any edits to it will get removed if the file is opened in a newer version of Excel. Learn more: https://go.microsoft.com/fwlink/?linkid=870924
Comment:
    World Bank; AfDB; NDB</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557F8D8-02C1-441E-9CB6-59379379A8F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A0330D-BE82-4FB6-8860-FE94EFA56B99}" name="WorksheetConnection_PMU Grant Mapping - Analytics - ME.xlsx!Table1" type="102" refreshedVersion="8" minRefreshableVersion="5">
    <extLst>
      <ext xmlns:x15="http://schemas.microsoft.com/office/spreadsheetml/2010/11/main" uri="{DE250136-89BD-433C-8126-D09CA5730AF9}">
        <x15:connection id="Table1" autoDelete="1">
          <x15:rangePr sourceName="_xlcn.WorksheetConnection_PMUGrantMappingAnalyticsME.xlsxTable1"/>
        </x15:connection>
      </ext>
    </extLst>
  </connection>
</connections>
</file>

<file path=xl/sharedStrings.xml><?xml version="1.0" encoding="utf-8"?>
<sst xmlns="http://schemas.openxmlformats.org/spreadsheetml/2006/main" count="3005" uniqueCount="808">
  <si>
    <t xml:space="preserve">Coal plant decommissioning </t>
  </si>
  <si>
    <t>World Bank</t>
  </si>
  <si>
    <t>ESKOM</t>
  </si>
  <si>
    <t>Transmission</t>
  </si>
  <si>
    <t xml:space="preserve">Distribution </t>
  </si>
  <si>
    <t>New PV</t>
  </si>
  <si>
    <t>TBD</t>
  </si>
  <si>
    <t>Electricity Sector</t>
  </si>
  <si>
    <t>Improving infrastructure for development</t>
  </si>
  <si>
    <t>Diversifying local economies</t>
  </si>
  <si>
    <t>Investing in youth</t>
  </si>
  <si>
    <t>Policies for post-mining redevelopment</t>
  </si>
  <si>
    <t>Building capacity for success</t>
  </si>
  <si>
    <t>Manufacturing and localising clean energy value chain</t>
  </si>
  <si>
    <t>Piloting social ownership models</t>
  </si>
  <si>
    <t> </t>
  </si>
  <si>
    <t>Infra Impact</t>
  </si>
  <si>
    <t>Infrastructure: Distribution maintenance</t>
  </si>
  <si>
    <t>Infrastructure: Electrification backlog</t>
  </si>
  <si>
    <t>Operational: Demand-side management</t>
  </si>
  <si>
    <t>Energy Efficiency &amp; Demand Side Management Programming</t>
  </si>
  <si>
    <t>Operational: Energy access design</t>
  </si>
  <si>
    <t>Capability and capacity</t>
  </si>
  <si>
    <t>Collective planning</t>
  </si>
  <si>
    <t>JET Municipal Integration Support</t>
  </si>
  <si>
    <t>Municipal revenue modelling</t>
  </si>
  <si>
    <t>City of Cape Town</t>
  </si>
  <si>
    <t>GH and Green Ammonia</t>
  </si>
  <si>
    <t xml:space="preserve">Infrastructure </t>
  </si>
  <si>
    <t>Promotion of Green Hydrogen</t>
  </si>
  <si>
    <t>IDC</t>
  </si>
  <si>
    <t>Skills hub for JET</t>
  </si>
  <si>
    <t>Mobilise PSET funding for JET</t>
  </si>
  <si>
    <t>University of Cape Town</t>
  </si>
  <si>
    <t>National Business Initiative (NBI)</t>
  </si>
  <si>
    <t>IIPSA Infrastructure Investment Programme for SA</t>
  </si>
  <si>
    <t>Green bond</t>
  </si>
  <si>
    <t>DBSA</t>
  </si>
  <si>
    <t>Total ZAR</t>
  </si>
  <si>
    <t>UK PACT Secondment</t>
  </si>
  <si>
    <t>Energy Secretariat -  UK PACT Skill-share</t>
  </si>
  <si>
    <t>Operationalising Energy Performance Certificates</t>
  </si>
  <si>
    <t>Climate Compatible Growth Facility</t>
  </si>
  <si>
    <t>UK-IFC Market Accelerator for Green Construction (MAGC) Programme – Advisory Services (Technical Assistance)</t>
  </si>
  <si>
    <t>Climate Support Programme (CSP4)</t>
  </si>
  <si>
    <t>Green Economy Transformation (GET)</t>
  </si>
  <si>
    <t>Emissions and energy data modelling improvements - support to UCT</t>
  </si>
  <si>
    <t>Cities Support Programme</t>
  </si>
  <si>
    <t>Eco-Industrial Parks Programme</t>
  </si>
  <si>
    <t>Multi-Country Investment Climate Programme</t>
  </si>
  <si>
    <t>Eskom</t>
  </si>
  <si>
    <t>DMRE</t>
  </si>
  <si>
    <t>DTIC</t>
  </si>
  <si>
    <t>WWF SA, Green Cape, Democracy Works Foundation, Association for Rural Advancement, Social Change Assistance Trust</t>
  </si>
  <si>
    <t>DFFE</t>
  </si>
  <si>
    <t>Green Cape, NBI, TIPS, Yes4Youth, WWF SA</t>
  </si>
  <si>
    <t>Municipalities</t>
  </si>
  <si>
    <t>Women, Municipalities</t>
  </si>
  <si>
    <t>The Presidency</t>
  </si>
  <si>
    <t>DFIs (DBSA, AFD and EIB) and municpalities.</t>
  </si>
  <si>
    <t>Municipalities, DWS, Water agencies</t>
  </si>
  <si>
    <t>USD to ZAR</t>
  </si>
  <si>
    <t>EUR to USD</t>
  </si>
  <si>
    <t>Priority Areas</t>
  </si>
  <si>
    <t>Decommissioning</t>
  </si>
  <si>
    <t>Generation</t>
  </si>
  <si>
    <t>Generation-embedded social ownership</t>
  </si>
  <si>
    <t>Distribution</t>
  </si>
  <si>
    <t>Storage</t>
  </si>
  <si>
    <t>Supply chain</t>
  </si>
  <si>
    <t>Green hydrogen</t>
  </si>
  <si>
    <t>NEVs</t>
  </si>
  <si>
    <t>Skills</t>
  </si>
  <si>
    <t>JT-Mpumalanga</t>
  </si>
  <si>
    <t>Green ammonia</t>
  </si>
  <si>
    <t>Manufacturing</t>
  </si>
  <si>
    <t>Technical Assistance</t>
  </si>
  <si>
    <t>Capacity development / training</t>
  </si>
  <si>
    <t>Studies/research</t>
  </si>
  <si>
    <t>Infrastructure</t>
  </si>
  <si>
    <t>Communication</t>
  </si>
  <si>
    <t>Community organisational development</t>
  </si>
  <si>
    <t>Non-IPG</t>
  </si>
  <si>
    <t>MDBs</t>
  </si>
  <si>
    <t>France</t>
  </si>
  <si>
    <t>Germany</t>
  </si>
  <si>
    <t>Denmark</t>
  </si>
  <si>
    <t>Netherlands</t>
  </si>
  <si>
    <t>Canada</t>
  </si>
  <si>
    <t>Spain</t>
  </si>
  <si>
    <t>AfDB</t>
  </si>
  <si>
    <t>NDB</t>
  </si>
  <si>
    <t>Status (Dynamic)</t>
  </si>
  <si>
    <t>Purpose</t>
  </si>
  <si>
    <t>Source Group</t>
  </si>
  <si>
    <t>Source</t>
  </si>
  <si>
    <t>Project preparation</t>
  </si>
  <si>
    <t>Participatory identification and implementation of just energy transition interventions</t>
  </si>
  <si>
    <t>African Centre for a Green Economy (local partner)</t>
  </si>
  <si>
    <t>International Institute for Sustainable Development (local partner)</t>
  </si>
  <si>
    <t>ACT-IP</t>
  </si>
  <si>
    <t xml:space="preserve">JET Innovation Regions </t>
  </si>
  <si>
    <t>Energy Secretariat -  UK PACT Skill-share Part 2</t>
  </si>
  <si>
    <t>Estimating the health impacts from coal-fired power stations in South Africa</t>
  </si>
  <si>
    <t>Unique ID</t>
  </si>
  <si>
    <t>EU001</t>
  </si>
  <si>
    <t>EU002</t>
  </si>
  <si>
    <t>EU003</t>
  </si>
  <si>
    <t>EU004</t>
  </si>
  <si>
    <t>EU006</t>
  </si>
  <si>
    <t>EU008</t>
  </si>
  <si>
    <t xml:space="preserve">Switzerland </t>
  </si>
  <si>
    <t>UK001</t>
  </si>
  <si>
    <t>SW001</t>
  </si>
  <si>
    <t>SW002</t>
  </si>
  <si>
    <t>SW003</t>
  </si>
  <si>
    <t>SW004</t>
  </si>
  <si>
    <t>SW005</t>
  </si>
  <si>
    <t>UK002</t>
  </si>
  <si>
    <t>UK003</t>
  </si>
  <si>
    <t>UK005</t>
  </si>
  <si>
    <t>UK006</t>
  </si>
  <si>
    <t>UK007</t>
  </si>
  <si>
    <t>UK008</t>
  </si>
  <si>
    <t>UK009</t>
  </si>
  <si>
    <t>UK011</t>
  </si>
  <si>
    <t>UK012</t>
  </si>
  <si>
    <t>UK013</t>
  </si>
  <si>
    <t>UK014</t>
  </si>
  <si>
    <t>UK015</t>
  </si>
  <si>
    <t>UK016</t>
  </si>
  <si>
    <t>UK017</t>
  </si>
  <si>
    <t>UK018</t>
  </si>
  <si>
    <t>UK019</t>
  </si>
  <si>
    <t>UK020</t>
  </si>
  <si>
    <t>UK021</t>
  </si>
  <si>
    <t>UK022</t>
  </si>
  <si>
    <t>UK023</t>
  </si>
  <si>
    <t>UK024</t>
  </si>
  <si>
    <t>UK025</t>
  </si>
  <si>
    <t>UK026</t>
  </si>
  <si>
    <t>UK027</t>
  </si>
  <si>
    <t>UK028</t>
  </si>
  <si>
    <t>UK029</t>
  </si>
  <si>
    <t>UK030</t>
  </si>
  <si>
    <t>UK031</t>
  </si>
  <si>
    <t>UK033</t>
  </si>
  <si>
    <t>UK039</t>
  </si>
  <si>
    <t>UK042</t>
  </si>
  <si>
    <t>GBP to USD</t>
  </si>
  <si>
    <t>GR002</t>
  </si>
  <si>
    <t>GR003</t>
  </si>
  <si>
    <t>GR004</t>
  </si>
  <si>
    <t>GR005</t>
  </si>
  <si>
    <t>GR007</t>
  </si>
  <si>
    <t>GR008</t>
  </si>
  <si>
    <t>GR010</t>
  </si>
  <si>
    <t>GR011</t>
  </si>
  <si>
    <t>GR012</t>
  </si>
  <si>
    <t>GR015</t>
  </si>
  <si>
    <t>GR016</t>
  </si>
  <si>
    <t>GR017</t>
  </si>
  <si>
    <t>GR018</t>
  </si>
  <si>
    <t>GR019</t>
  </si>
  <si>
    <t>SW006</t>
  </si>
  <si>
    <t>SW007</t>
  </si>
  <si>
    <t>SW008</t>
  </si>
  <si>
    <t>FR001</t>
  </si>
  <si>
    <t>FR002</t>
  </si>
  <si>
    <t>FR003</t>
  </si>
  <si>
    <t>FR004</t>
  </si>
  <si>
    <t>FR005</t>
  </si>
  <si>
    <t>FR006</t>
  </si>
  <si>
    <t>FR007</t>
  </si>
  <si>
    <t>FR009</t>
  </si>
  <si>
    <t>CHF to USD</t>
  </si>
  <si>
    <t xml:space="preserve">Total US$ </t>
  </si>
  <si>
    <t>DK001</t>
  </si>
  <si>
    <t>DK002</t>
  </si>
  <si>
    <t>DK003</t>
  </si>
  <si>
    <t>DK004</t>
  </si>
  <si>
    <t>DK005</t>
  </si>
  <si>
    <t>DK006</t>
  </si>
  <si>
    <t>DK008</t>
  </si>
  <si>
    <t>DK009</t>
  </si>
  <si>
    <t>DK010</t>
  </si>
  <si>
    <t>CAN001</t>
  </si>
  <si>
    <t>CAN002</t>
  </si>
  <si>
    <t>CAN003</t>
  </si>
  <si>
    <t>CAN004</t>
  </si>
  <si>
    <t>ACTIP001</t>
  </si>
  <si>
    <t>ACTIP002</t>
  </si>
  <si>
    <t>NL001</t>
  </si>
  <si>
    <t>NL002</t>
  </si>
  <si>
    <t>NL003</t>
  </si>
  <si>
    <t>NL004</t>
  </si>
  <si>
    <t>NL005</t>
  </si>
  <si>
    <t>US001</t>
  </si>
  <si>
    <t>US002</t>
  </si>
  <si>
    <t>US003</t>
  </si>
  <si>
    <t>US004</t>
  </si>
  <si>
    <t>US006</t>
  </si>
  <si>
    <t>US007</t>
  </si>
  <si>
    <t>US008</t>
  </si>
  <si>
    <t>US009</t>
  </si>
  <si>
    <t>US010</t>
  </si>
  <si>
    <t>US011</t>
  </si>
  <si>
    <t>US012</t>
  </si>
  <si>
    <t>US013</t>
  </si>
  <si>
    <t>US014</t>
  </si>
  <si>
    <t>US015</t>
  </si>
  <si>
    <t>US017</t>
  </si>
  <si>
    <t>US018</t>
  </si>
  <si>
    <t>US019</t>
  </si>
  <si>
    <t>US020</t>
  </si>
  <si>
    <t>US021</t>
  </si>
  <si>
    <t>US022</t>
  </si>
  <si>
    <t>US023</t>
  </si>
  <si>
    <t>US024</t>
  </si>
  <si>
    <t>US026</t>
  </si>
  <si>
    <t>US027</t>
  </si>
  <si>
    <t>US028</t>
  </si>
  <si>
    <t>US029</t>
  </si>
  <si>
    <t>US030</t>
  </si>
  <si>
    <t>US031</t>
  </si>
  <si>
    <t>US032</t>
  </si>
  <si>
    <t>US033</t>
  </si>
  <si>
    <t>US034</t>
  </si>
  <si>
    <t>US035</t>
  </si>
  <si>
    <t>US037</t>
  </si>
  <si>
    <t>CAD - Amount</t>
  </si>
  <si>
    <t>CAD to USD</t>
  </si>
  <si>
    <t>DKK - Amount</t>
  </si>
  <si>
    <t>DKK to USD</t>
  </si>
  <si>
    <t>Euro - Amounts</t>
  </si>
  <si>
    <t>Euro - Amount</t>
  </si>
  <si>
    <t>UK044</t>
  </si>
  <si>
    <t>UK045</t>
  </si>
  <si>
    <t>UK048</t>
  </si>
  <si>
    <t>UK049</t>
  </si>
  <si>
    <t>Agribusiness investment support for JETP in Mpumalanga</t>
  </si>
  <si>
    <t>Technoserve</t>
  </si>
  <si>
    <t>UK-IFC Market Accelerator for Green Construction (MAGC) Programme - – Capital Investment</t>
  </si>
  <si>
    <t>GBP - Amount</t>
  </si>
  <si>
    <t>SW009</t>
  </si>
  <si>
    <t>CHF: Amount</t>
  </si>
  <si>
    <t xml:space="preserve">Local Economic Development </t>
  </si>
  <si>
    <t>Skills development for a green economy</t>
  </si>
  <si>
    <t>Municipal energy management systems</t>
  </si>
  <si>
    <t xml:space="preserve">Sustainable Cities </t>
  </si>
  <si>
    <t xml:space="preserve">A. Planned </t>
  </si>
  <si>
    <t>B. Pledged</t>
  </si>
  <si>
    <t>Supporting local water authorities/municipalities on water management</t>
  </si>
  <si>
    <t>SA-H2 Fund</t>
  </si>
  <si>
    <t>Accelerating the green hydrogen economy</t>
  </si>
  <si>
    <t>Euro: Amount</t>
  </si>
  <si>
    <t>Enabling Environment</t>
  </si>
  <si>
    <t>dtic, CSIR</t>
  </si>
  <si>
    <t>DMRE; NBI; Presidency; IDC</t>
  </si>
  <si>
    <t>The Presidency, HySA Network, Infrastructure SA, SANEDI, HSRC</t>
  </si>
  <si>
    <t>DFFE, municipalities, provinces</t>
  </si>
  <si>
    <t>FR010</t>
  </si>
  <si>
    <t>FR011</t>
  </si>
  <si>
    <t>FR013</t>
  </si>
  <si>
    <t>FR014</t>
  </si>
  <si>
    <t>FR016</t>
  </si>
  <si>
    <t>The role of social policies in the framework for the just transition (focusing Steve Tshwete Local Municipality)</t>
  </si>
  <si>
    <t xml:space="preserve">Revitalisation of Mining Ghost Towns </t>
  </si>
  <si>
    <t>JET Labour Center</t>
  </si>
  <si>
    <t>Public employment programs, just transition and inequality</t>
  </si>
  <si>
    <t>Strengthening the environmental justice movement in South Africa</t>
  </si>
  <si>
    <t>Peta Wolpe and Wendy Annecke</t>
  </si>
  <si>
    <t>Renewable Energy Skills</t>
  </si>
  <si>
    <t>Just Mpumpalanga</t>
  </si>
  <si>
    <t>Variety</t>
  </si>
  <si>
    <t>Repurposing coal plants and coal mining land</t>
  </si>
  <si>
    <t>All</t>
  </si>
  <si>
    <t>Solar PV, Wind, Batteries</t>
  </si>
  <si>
    <t>Revenue Management</t>
  </si>
  <si>
    <t>Capability and Capacity</t>
  </si>
  <si>
    <t>VARIETY</t>
  </si>
  <si>
    <t>DMRE Support on Development of a Framework for a Just Transition to a Green Hydrogen Economy</t>
  </si>
  <si>
    <t>Accelerating Women’s Empowerment in Energy (AWEE) project</t>
  </si>
  <si>
    <t>JET IP PMU</t>
  </si>
  <si>
    <t>IPPs needing to evacuate power;RE project developers gaining access to transmission and ability to sell power to private off-takers</t>
  </si>
  <si>
    <t>SALGA,MMSEZ,TBD</t>
  </si>
  <si>
    <t>Kouga, Msukaligwa (Mpamalanga), Emalahleni, and Polokwane TBC</t>
  </si>
  <si>
    <t>SouthSouthNorth Projects (Africa) NPC (local partner)</t>
  </si>
  <si>
    <t>GR021</t>
  </si>
  <si>
    <t>GR022</t>
  </si>
  <si>
    <t>Catalyst Research for Sustainable Kerosene, CARE-o-SENE</t>
  </si>
  <si>
    <t>Greening the production and use of liquefied fuel gas in Southern Africa, Green‐QUEST</t>
  </si>
  <si>
    <t>Responsible land use</t>
  </si>
  <si>
    <r>
      <t>Implementation of the Just Transitions Framework</t>
    </r>
    <r>
      <rPr>
        <sz val="11"/>
        <color rgb="FF0070C0"/>
        <rFont val="Calibri"/>
        <family val="2"/>
        <scheme val="minor"/>
      </rPr>
      <t xml:space="preserve"> </t>
    </r>
  </si>
  <si>
    <t>Original IPG</t>
  </si>
  <si>
    <t>Development of catalysts in the Fischer-Tropsch process (FT). These FT catalysts play a key role in the large-scale production of green kerosene. With the help of optimized catalysts, sustainable aircraft fuels, so-called Sustainable Aviation Fuels (SAF), can be produced more efficiently.</t>
  </si>
  <si>
    <t>Developing Green-LFG value chain.  Converting captured CO2, water and renewable energy into synthesis gas and green liquid gas is improved.</t>
  </si>
  <si>
    <t>IPG</t>
  </si>
  <si>
    <t>EU005</t>
  </si>
  <si>
    <r>
      <rPr>
        <u/>
        <sz val="11"/>
        <color rgb="FF0070C0"/>
        <rFont val="Calibri (Body)"/>
      </rPr>
      <t>ESMAP (Energy Sector Management Assistance Program)</t>
    </r>
    <r>
      <rPr>
        <sz val="11"/>
        <color rgb="FF0070C0"/>
        <rFont val="Calibri"/>
        <family val="2"/>
        <scheme val="minor"/>
      </rPr>
      <t>: Energy Sector Management Assistance Programme (ESMAP) to support the decommissioning of coal-fired power plants in SA. This project supports the Government of South Africa and Eskom to scope the technical, economic, environmental, and social practicalities of closing and/or repurposing coal-fired power plants. The objective is to strengthen the environmental and social technical readiness of decommissioning coal-fired power stations in South Africa.</t>
    </r>
  </si>
  <si>
    <r>
      <rPr>
        <u/>
        <sz val="11"/>
        <color rgb="FF0070C0"/>
        <rFont val="Calibri (Body)"/>
      </rPr>
      <t>South Africa Programmatic Advisory Services and Analytics  (supported through ESMAP)</t>
    </r>
    <r>
      <rPr>
        <sz val="11"/>
        <color rgb="FF0070C0"/>
        <rFont val="Calibri"/>
        <family val="2"/>
        <scheme val="minor"/>
      </rPr>
      <t xml:space="preserve">: The second ESMAP programme establishes the provision of Advisory Services and Analytics (including and advisory board) activities for South Africa. </t>
    </r>
  </si>
  <si>
    <r>
      <rPr>
        <u/>
        <sz val="11"/>
        <color rgb="FF0070C0"/>
        <rFont val="Calibri (Body)"/>
      </rPr>
      <t>Mapping Mitigation and Adaptation Pathways for a JET - Support for Sector Job Resilience Planning (UK PACT)</t>
    </r>
    <r>
      <rPr>
        <sz val="11"/>
        <color rgb="FF0070C0"/>
        <rFont val="Calibri"/>
        <family val="2"/>
        <scheme val="minor"/>
      </rPr>
      <t xml:space="preserve">: The National Employment Vulnerability Assessment (NEVA) conducted by the DFFE and DTIC, identified a number of sectors/value chains as being vulnerable to climate change or that will be impacted by the just transition. In each of these sectors the NEVA identified a number of initiatives (particularly within the coal value-chain) with real job creation potential that need capacity and technical support to build into bankable opportunities. This project developed implementable business cases for a number of these initiatives. The respective business cases are for pilots in Mpumalanga including: Just Transition social protection; coal waste beneficiation; biomass from invasive plant species feasibility; and warning systems and tools to ensure energy and food security.
</t>
    </r>
  </si>
  <si>
    <r>
      <rPr>
        <u/>
        <sz val="11"/>
        <color rgb="FF0070C0"/>
        <rFont val="Calibri (Body)"/>
      </rPr>
      <t>The UK funded Climate Finance Accelerator (CFA)</t>
    </r>
    <r>
      <rPr>
        <sz val="11"/>
        <color rgb="FF0070C0"/>
        <rFont val="Calibri"/>
        <family val="2"/>
        <scheme val="minor"/>
      </rPr>
      <t xml:space="preserve">: Gives capacity building support to low carbon businesses and projects in agriculture, forestry, energy, transport, circular economy and water sectors; putting them in the best position to attract investment from financiers. Everlectric, Hohm Energy and Wetility are three of the successful projects from South Africa following the first phase of CFA. </t>
    </r>
  </si>
  <si>
    <r>
      <rPr>
        <u/>
        <sz val="11"/>
        <color rgb="FF0070C0"/>
        <rFont val="Calibri (Body)"/>
      </rPr>
      <t>Development of a Green Economy Cluster Organisation to Support Mpumalanga’s Role in the Validation, Implementation and Follow-on Research of the South African Renewable Energy Masterplan (SAREM) (UK PACT)</t>
    </r>
    <r>
      <rPr>
        <sz val="11"/>
        <color rgb="FF0070C0"/>
        <rFont val="Calibri"/>
        <family val="2"/>
        <scheme val="minor"/>
      </rPr>
      <t>: This project builds more substantively on ongoing work related to the development of the South African Renewable Energy Masterplan (SAREM). It draws on the success that GreenCape has achieved as the Western Cape’s green economy cluster organisation by helping to establish a similar green economy cluster organisation in Mpumalanga (launched in 2022). The newly established green economy cluster organisation will work on practical opportunities to support the research behind the SAREM, making a significant contribution to creating green economy jobs and investment opportunities as part of the implementation of SAREM.</t>
    </r>
  </si>
  <si>
    <r>
      <rPr>
        <u/>
        <sz val="11"/>
        <color rgb="FF0070C0"/>
        <rFont val="Calibri (Body)"/>
      </rPr>
      <t>Distilling the Just Energy Transition in South Africa: Harmonising Conflict and Seeking Opportunities (UK PACT)</t>
    </r>
    <r>
      <rPr>
        <sz val="11"/>
        <color rgb="FF0070C0"/>
        <rFont val="Calibri"/>
        <family val="2"/>
        <scheme val="minor"/>
      </rPr>
      <t xml:space="preserve">: The project focused on the two most coal-dependant municipalities in Mpumalanga (eMalahleni and Steve Tshwete) to identify economic diversification activities that the municipalities can develop, in conjunction with the local communities to promote job creation within the local economies. </t>
    </r>
  </si>
  <si>
    <r>
      <rPr>
        <u/>
        <sz val="11"/>
        <color rgb="FF0070C0"/>
        <rFont val="Calibri (Body)"/>
      </rPr>
      <t>Trade Forward Southern Africa (TFSA)</t>
    </r>
    <r>
      <rPr>
        <sz val="11"/>
        <color rgb="FF0070C0"/>
        <rFont val="Calibri"/>
        <family val="2"/>
        <scheme val="minor"/>
      </rPr>
      <t xml:space="preserve">: Information, capacity building and support to South African renewable energy and greentech products to promote their products, and access new markets through addressing no-tarriff barriers to trade and supporting market linkages. Overarching work seeks to promote SOuthern african renewable and greentech companies and industry as growing and attaractive sector for investment. </t>
    </r>
  </si>
  <si>
    <r>
      <rPr>
        <u/>
        <sz val="11"/>
        <color rgb="FF0070C0"/>
        <rFont val="Calibri (Body)"/>
      </rPr>
      <t>Alternative Financing Models for Embedded Generation of Renewable Energy in South African Municipalities (UK PACT)</t>
    </r>
    <r>
      <rPr>
        <sz val="11"/>
        <color rgb="FF0070C0"/>
        <rFont val="Calibri"/>
        <family val="2"/>
        <scheme val="minor"/>
      </rPr>
      <t xml:space="preserve">: The project developed alternative finance models for embedded generation projects within secondary municipalities and built capacity within these municipalities to enable pre-feasibility studies for embedded generation projects that could ultimately be developed through the technical and financial support of the DBSA and Green Climate Fund’s ~R4bn Embedded Generation Investment Programme (EGIP).  </t>
    </r>
  </si>
  <si>
    <r>
      <rPr>
        <u/>
        <sz val="11"/>
        <color rgb="FF0070C0"/>
        <rFont val="Calibri (Body)"/>
      </rPr>
      <t>eThekwini Regional Hydrogen Economy Study  (UK PACT)</t>
    </r>
    <r>
      <rPr>
        <sz val="11"/>
        <color rgb="FF0070C0"/>
        <rFont val="Calibri"/>
        <family val="2"/>
        <scheme val="minor"/>
      </rPr>
      <t>: This project assessed the feasibility and pathway for establishing a hydrogen economy in eThekwini Metropolitan Municipality. The completed study, launched by the Mayor of eThekwini in March 2023, included a combination of literature reviews, trend analysis and engagements with various eThekwini Municipality departments and stakeholders. It focussed on the production of hydrogen, distribution and storage, and consumption in the transport sector and large energy and power industries. The study explored the potential role of hydrogen in storing intermittent renewable energy thereby accelerating its deployment.</t>
    </r>
  </si>
  <si>
    <r>
      <rPr>
        <u/>
        <sz val="11"/>
        <color rgb="FF0070C0"/>
        <rFont val="Calibri (Body)"/>
      </rPr>
      <t>Urban Climate Action Programme (UCAP)</t>
    </r>
    <r>
      <rPr>
        <sz val="11"/>
        <color rgb="FF0070C0"/>
        <rFont val="Calibri"/>
        <family val="2"/>
        <scheme val="minor"/>
      </rPr>
      <t>: Supporting key cities to implement and embed their net-zero climate action plans through their membership to the C40 Cities network. The Cities Finance Facility (CFF) is a multi-donor project preparation facility for low-carbon infrastructure which includes Cape Town and Drakenstein.</t>
    </r>
  </si>
  <si>
    <r>
      <rPr>
        <u/>
        <sz val="11"/>
        <color rgb="FF0070C0"/>
        <rFont val="Calibri (Body)"/>
      </rPr>
      <t>High Gear</t>
    </r>
    <r>
      <rPr>
        <sz val="11"/>
        <color rgb="FF0070C0"/>
        <rFont val="Calibri"/>
        <family val="2"/>
        <scheme val="minor"/>
      </rPr>
      <t>: Development of an NEV study to identify priority EV competencies necessary to support the growth and functioning of EV manufacturing and servicing sectors to enable more TVET graduates to enter the emerging industry</t>
    </r>
  </si>
  <si>
    <r>
      <rPr>
        <u/>
        <sz val="11"/>
        <color rgb="FF0070C0"/>
        <rFont val="Calibri (Body)"/>
      </rPr>
      <t>Green Skills in IRM</t>
    </r>
    <r>
      <rPr>
        <sz val="11"/>
        <color rgb="FF0070C0"/>
        <rFont val="Calibri"/>
        <family val="2"/>
        <scheme val="minor"/>
      </rPr>
      <t>: 100 beneficiaries (IOPSA plumbing training graduates) provided with green skills training (solar geyser installations and  for improved employment and earning prospects. 100 beneficiaries (IOPSA graduates) provided with green skills training (solar pump installations and  for improved employment and earning prospects.</t>
    </r>
  </si>
  <si>
    <r>
      <rPr>
        <u/>
        <sz val="11"/>
        <color rgb="FF0070C0"/>
        <rFont val="Calibri (Body)"/>
      </rPr>
      <t>Support to PCC</t>
    </r>
    <r>
      <rPr>
        <sz val="11"/>
        <color rgb="FF0070C0"/>
        <rFont val="Calibri"/>
        <family val="2"/>
        <scheme val="minor"/>
      </rPr>
      <t xml:space="preserve"> on key projects for JETP including UK-SA institutions (UCT with Imperial, Oxford, Cambridge, Loughborough) </t>
    </r>
  </si>
  <si>
    <r>
      <rPr>
        <u/>
        <sz val="11"/>
        <color rgb="FF0070C0"/>
        <rFont val="Calibri (Body)"/>
      </rPr>
      <t>Support to UCT</t>
    </r>
    <r>
      <rPr>
        <sz val="11"/>
        <color rgb="FF0070C0"/>
        <rFont val="Calibri"/>
        <family val="2"/>
        <scheme val="minor"/>
      </rPr>
      <t>: Improving the quality and usability modelling data for energy planning and emissions, including staff to answer queries and potential training of relevant public bodies on emissions modelling</t>
    </r>
  </si>
  <si>
    <r>
      <rPr>
        <u/>
        <sz val="11"/>
        <color rgb="FF0070C0"/>
        <rFont val="Calibri (Body)"/>
      </rPr>
      <t>Project pipeline development</t>
    </r>
    <r>
      <rPr>
        <sz val="11"/>
        <color rgb="FF0070C0"/>
        <rFont val="Calibri"/>
        <family val="2"/>
        <scheme val="minor"/>
      </rPr>
      <t>: Identification, verification and vetting of municipal projects to enable development partners to deploy JETP funding</t>
    </r>
  </si>
  <si>
    <r>
      <rPr>
        <u/>
        <sz val="11"/>
        <color rgb="FF0070C0"/>
        <rFont val="Calibri (Body)"/>
      </rPr>
      <t>To document the literature on the health impacts of coal-fired power stations globally and specifically for South Africa</t>
    </r>
    <r>
      <rPr>
        <sz val="11"/>
        <color rgb="FF0070C0"/>
        <rFont val="Calibri"/>
        <family val="2"/>
        <scheme val="minor"/>
      </rPr>
      <t>, and to estimate mortality (and possibly morbidity) risks in the districts where the coal-fired power stations are located compared to districts where no coal-fired power stations are located.</t>
    </r>
  </si>
  <si>
    <r>
      <rPr>
        <u/>
        <sz val="11"/>
        <color rgb="FF0070C0"/>
        <rFont val="Calibri (Body)"/>
      </rPr>
      <t>MAGC will provide a Performance Based Incentive (PBI), for pre-agreed eligibility criteria, that will partly offset greening and EDGE certification costs for developers</t>
    </r>
    <r>
      <rPr>
        <sz val="11"/>
        <color rgb="FF0070C0"/>
        <rFont val="Calibri"/>
        <family val="2"/>
        <scheme val="minor"/>
      </rPr>
      <t>: The proceeds from IFC’s loan are fully earmarked for EDGE-certified residential housing developments, including in the affordable housing segment.This first MAGC investment will support Business Partners Limited, a South African non-banking financing entity specialised in loans and mentorship for SMEs to advance energy efficiency initiatives in South Africa. The deal provides financing for a 5-year loan aiming to build 90 Excellence in Design for Greater Efficiencies, (EDGE) certified buildings and will also provide a customised advisory service programme to support the green building capacity for staff and external construction stakeholders.</t>
    </r>
  </si>
  <si>
    <r>
      <rPr>
        <u/>
        <sz val="11"/>
        <color rgb="FF0070C0"/>
        <rFont val="Calibri (Body)"/>
      </rPr>
      <t>IFC will provide advisory services in South Africa in line with the aims of the MAGC program</t>
    </r>
    <r>
      <rPr>
        <sz val="11"/>
        <color rgb="FF0070C0"/>
        <rFont val="Calibri"/>
        <family val="2"/>
        <scheme val="minor"/>
      </rPr>
      <t>: This second MAGC investment in South Africa provides Nedbank with a US$31.1m IFC investment for financing EDGE-certified residential housing developments. The bond will enable a significant increase in EDGE-certified green residential developments in South Africa, 75% of which is targeted to be affordable housing on a best efforts basis. Scaling up green building financing, particularly in the residential sector, is critical to support the decarbonisation of South Africa’s energy sector while contributing to economic recovery and addressing the large housing deficit in the country. An advisory Services project will run alongside the investment, providing the bank EDGE-tool training and green building certification support, and support the bank in integrating EDGE processes.</t>
    </r>
  </si>
  <si>
    <r>
      <rPr>
        <u/>
        <sz val="11"/>
        <color rgb="FF0070C0"/>
        <rFont val="Calibri (Body)"/>
      </rPr>
      <t>Enabling Long-Term de-fossilisation Pathways through Power-to-X (PtX Pathways) South African Component</t>
    </r>
    <r>
      <rPr>
        <sz val="11"/>
        <color rgb="FF0070C0"/>
        <rFont val="Calibri"/>
        <family val="2"/>
        <scheme val="minor"/>
      </rPr>
      <t>: TA on supporting the build up of a sustainable PtX economy</t>
    </r>
  </si>
  <si>
    <r>
      <rPr>
        <u/>
        <sz val="11"/>
        <color rgb="FF0070C0"/>
        <rFont val="Calibri (Body)"/>
      </rPr>
      <t>South African – German Energy Partnership</t>
    </r>
    <r>
      <rPr>
        <sz val="11"/>
        <color rgb="FF0070C0"/>
        <rFont val="Calibri"/>
        <family val="2"/>
        <scheme val="minor"/>
      </rPr>
      <t>: All funds already committed.</t>
    </r>
  </si>
  <si>
    <r>
      <rPr>
        <u/>
        <sz val="11"/>
        <color rgb="FF0070C0"/>
        <rFont val="Calibri (Body)"/>
      </rPr>
      <t>Just Transition to a Decarbonised Economy (JUST SA)</t>
    </r>
    <r>
      <rPr>
        <sz val="11"/>
        <color rgb="FF0070C0"/>
        <rFont val="Calibri"/>
        <family val="2"/>
        <scheme val="minor"/>
      </rPr>
      <t>: The JUST SA project, implemented by GIZ, Green Cape, NBI, TIPS, and WWF SA, aims to support South Africa's transition to a low-carbon, climate-resilient economy. GIZ coordinates the program, providing grants and overseeing financial management, while working closely with partners such as the Department of Forestry, Fisheries and the Environment (DFFE), Presidential Climate Commission Secretariat (PCC), and other stakeholders. The project focuses on stakeholder participation in policy development, provincial green economic development, skills development, model projects on municipal level, and mine rehabilitation. JUST SA is leading the process to establish a multi-level stakeholder dialogue on Just Transition and supporting financial instrument development. JUST SA is developing a green economy transition strategy in the Mpumalanga region, supporting municipalities with Just Transition concepts and improving capacity development and financial access for SMMEs. Activities range from development of working papers on Just Transition, representation of marginalized communities in national dialogues, technical support for Just Transition project developers, organisational and strategical support for the MGCA, development of a strategy for green industry development in Mpumalanga, scaling of innovative funding instruments for SMMEs, local skills development in municipalities, to feasibility studies for water treatment approaches of mine water.</t>
    </r>
  </si>
  <si>
    <r>
      <rPr>
        <u/>
        <sz val="11"/>
        <color rgb="FF0070C0"/>
        <rFont val="Calibri (Body)"/>
      </rPr>
      <t>Innovative Financing of Green Infrastructure</t>
    </r>
    <r>
      <rPr>
        <sz val="11"/>
        <color rgb="FF0070C0"/>
        <rFont val="Calibri"/>
        <family val="2"/>
        <scheme val="minor"/>
      </rPr>
      <t xml:space="preserve">: The project will refinance the equity shares of South African Community Trusts in projects under the national REI4P. </t>
    </r>
  </si>
  <si>
    <r>
      <rPr>
        <u/>
        <sz val="11"/>
        <color rgb="FF0070C0"/>
        <rFont val="Calibri (Body)"/>
      </rPr>
      <t>Energy Efficiency in Public Buildings and Infrastructure Programme (EEPBIP)</t>
    </r>
    <r>
      <rPr>
        <sz val="11"/>
        <color rgb="FF0070C0"/>
        <rFont val="Calibri"/>
        <family val="2"/>
        <scheme val="minor"/>
      </rPr>
      <t>: EUR 8.7m TA, EUR12.3m Partial Credit Guarantee (IDC). Budget pro rata-ed for Nov 2021 start date with agreement of JETP</t>
    </r>
  </si>
  <si>
    <r>
      <rPr>
        <u/>
        <sz val="11"/>
        <color rgb="FF0070C0"/>
        <rFont val="Calibri (Body)"/>
      </rPr>
      <t>Promoting a Green Hydrogen Economy in South Africa (H2.SA)</t>
    </r>
    <r>
      <rPr>
        <sz val="11"/>
        <color rgb="FF0070C0"/>
        <rFont val="Calibri"/>
        <family val="2"/>
        <scheme val="minor"/>
      </rPr>
      <t>: All funds already committed.</t>
    </r>
  </si>
  <si>
    <r>
      <rPr>
        <u/>
        <sz val="11"/>
        <color rgb="FF0070C0"/>
        <rFont val="Calibri (Body)"/>
      </rPr>
      <t>Career Path Development for Employment (CPD4E) - BMZ</t>
    </r>
    <r>
      <rPr>
        <sz val="11"/>
        <color rgb="FF0070C0"/>
        <rFont val="Calibri"/>
        <family val="2"/>
        <scheme val="minor"/>
      </rPr>
      <t>: All funds already committed.</t>
    </r>
  </si>
  <si>
    <r>
      <rPr>
        <u/>
        <sz val="11"/>
        <color rgb="FF0070C0"/>
        <rFont val="Calibri (Body)"/>
      </rPr>
      <t>Support to the Presidential Youth Employment Intervention</t>
    </r>
    <r>
      <rPr>
        <sz val="11"/>
        <color rgb="FF0070C0"/>
        <rFont val="Calibri (Body)"/>
      </rPr>
      <t xml:space="preserve"> - S2PYEI</t>
    </r>
  </si>
  <si>
    <r>
      <rPr>
        <u/>
        <sz val="11"/>
        <color rgb="FF0070C0"/>
        <rFont val="Calibri (Body)"/>
      </rPr>
      <t>Policy advisory and other support to DFFE and other institutions on climate mitigation and adaptation issues -  biodiversity</t>
    </r>
    <r>
      <rPr>
        <sz val="11"/>
        <color rgb="FF0070C0"/>
        <rFont val="Calibri"/>
        <family val="2"/>
        <scheme val="minor"/>
      </rPr>
      <t>: All funds already committed.</t>
    </r>
  </si>
  <si>
    <r>
      <rPr>
        <u/>
        <sz val="11"/>
        <color rgb="FF0070C0"/>
        <rFont val="Calibri (Body)"/>
      </rPr>
      <t>Refinement of Eskom JET Office Strategy</t>
    </r>
    <r>
      <rPr>
        <sz val="11"/>
        <color rgb="FF0070C0"/>
        <rFont val="Calibri"/>
        <family val="2"/>
        <scheme val="minor"/>
      </rPr>
      <t>: Consulting services to the Eskom JET Office for the update, refinement, and initial implementation of the JET strategy.  Co-funded with GEAPP.  Executed by BCG.</t>
    </r>
  </si>
  <si>
    <r>
      <rPr>
        <u/>
        <sz val="11"/>
        <color rgb="FF0070C0"/>
        <rFont val="Calibri (Body)"/>
      </rPr>
      <t>Support to CSIR</t>
    </r>
    <r>
      <rPr>
        <sz val="11"/>
        <color rgb="FF0070C0"/>
        <rFont val="Calibri"/>
        <family val="2"/>
        <scheme val="minor"/>
      </rPr>
      <t>: Support the development of a holistic cost-benefit analysis study on the repurposing of two coal power plants; as well as the examination of the localization potential and enterprise development opportunities of both the solar PV and battery storage value chain</t>
    </r>
  </si>
  <si>
    <r>
      <rPr>
        <u/>
        <sz val="11"/>
        <color rgb="FF0070C0"/>
        <rFont val="Calibri (Body)"/>
      </rPr>
      <t>Economic diversification support to Steve Tshwete Municipality for</t>
    </r>
    <r>
      <rPr>
        <sz val="11"/>
        <color rgb="FF0070C0"/>
        <rFont val="Calibri"/>
        <family val="2"/>
        <scheme val="minor"/>
      </rPr>
      <t xml:space="preserve">: 1- The development of a just low-carbon transition strategy, in line with previous work undertaken by the German Cooperation (GiZ) and ICLEI. 2- Supporting the diversification of the local economy to make it less dependent on the coal industry. </t>
    </r>
  </si>
  <si>
    <r>
      <rPr>
        <u/>
        <sz val="11"/>
        <color rgb="FF0070C0"/>
        <rFont val="Calibri (Body)"/>
      </rPr>
      <t>Community Explorer</t>
    </r>
    <r>
      <rPr>
        <sz val="11"/>
        <color rgb="FF0070C0"/>
        <rFont val="Calibri (Body)"/>
      </rPr>
      <t>: Steve Tshwete Local Municipality</t>
    </r>
  </si>
  <si>
    <r>
      <rPr>
        <u/>
        <sz val="11"/>
        <color rgb="FF0070C0"/>
        <rFont val="Calibri (Body)"/>
      </rPr>
      <t>Study on energy poverty:</t>
    </r>
    <r>
      <rPr>
        <sz val="11"/>
        <color rgb="FF0070C0"/>
        <rFont val="Calibri"/>
        <family val="2"/>
        <scheme val="minor"/>
      </rPr>
      <t xml:space="preserve"> Study on impact of power sector reforms on energy poverty.  With focus on Emalahleni Local Municipality</t>
    </r>
  </si>
  <si>
    <r>
      <rPr>
        <u/>
        <sz val="11"/>
        <color rgb="FF0070C0"/>
        <rFont val="Calibri (Body)"/>
      </rPr>
      <t>Cross sectoral</t>
    </r>
    <r>
      <rPr>
        <sz val="11"/>
        <color rgb="FF0070C0"/>
        <rFont val="Calibri"/>
        <family val="2"/>
        <scheme val="minor"/>
      </rPr>
      <t xml:space="preserve">: The purpose of the green bond issuance was to support investment in climate change mitigation and adaptation projects in Africa. The project is backed by a portfolio of sub-projects in the renewable energy sector (solar/wind) and/or in the water sector, with climate mitigation or adaptation co-benefits. The total value of the project is EUR 200 million for the subscription to the green bond issued by DBSA with a maturity of 7 years, and EUR 0.15 million in grants to finance technical assistance. </t>
    </r>
  </si>
  <si>
    <r>
      <rPr>
        <u/>
        <sz val="11"/>
        <color rgb="FF0070C0"/>
        <rFont val="Calibri (Body)"/>
      </rPr>
      <t>Contribution on the debate on a just transition in SA by mapping the entrenched historical implications of coal use, overlaying these with a description of some of the policies developed to address energy and climate change</t>
    </r>
    <r>
      <rPr>
        <sz val="11"/>
        <color rgb="FF0070C0"/>
        <rFont val="Calibri"/>
        <family val="2"/>
        <scheme val="minor"/>
      </rPr>
      <t>: This paper explores the extent to which social policies in South Africa might serve as mechanisms to enhance the transition to a low carbon economy and contribute to mitigating some of the negative impacts towards ensuring a holistic and just transition. It attempts to contribute to the fluid and contested nature of the debate on a just transition in South Africa by mapping the entrenched historical implications of coal use, overlaying these with a description of some of the policies developed to address energy and climate change and analysing the extent to which current social protection policies, designed to facilitate well-being, might be harnessed towards a more equitable society and a just transition</t>
    </r>
  </si>
  <si>
    <r>
      <rPr>
        <u/>
        <sz val="11"/>
        <color rgb="FF0070C0"/>
        <rFont val="Calibri (Body)"/>
      </rPr>
      <t>Analysis of the revitalisation of South African Mining Ghost Towns – focus on Phalaborwa and Carolina</t>
    </r>
    <r>
      <rPr>
        <sz val="11"/>
        <color rgb="FF0070C0"/>
        <rFont val="Calibri"/>
        <family val="2"/>
        <scheme val="minor"/>
      </rPr>
      <t>: The objective of the project was to identify existing and/or potential economic opportunities in the project target areas, BaPhalaborwa and Carolina, that could ensure a Just Transition from strongly mining oriented local economies . The IDC identified that smaller towns in the mining regions of South Africa are facing economic hardship as they transition into a greener based future. This is particularly the case for towns dependent on coal mining but the issues faced involve other mining dependent towns as well, particularly given general declines in mining productivity and life of mining cycles. Based on an IDC study review of such towns, they identified the two towns (Phalaborwa and Carolina) to form the basis of this Ghost Mining Project review</t>
    </r>
  </si>
  <si>
    <r>
      <rPr>
        <u/>
        <sz val="11"/>
        <color rgb="FF0070C0"/>
        <rFont val="Calibri (Body)"/>
      </rPr>
      <t>Develop a just transition partnering implementation model to guide the work of the PCC and its partners, with a focus on Mpumalanga</t>
    </r>
    <r>
      <rPr>
        <sz val="11"/>
        <color rgb="FF0070C0"/>
        <rFont val="Calibri"/>
        <family val="2"/>
        <scheme val="minor"/>
      </rPr>
      <t>: The purpose of the research is to develop a just transition partnering implementation model to guide the work of the PCC and its partners, with a focus on Mpumalanga.Special attention will be paid to the role of sub-national government, as well as relationships between state and non-state actors at the local level</t>
    </r>
  </si>
  <si>
    <r>
      <rPr>
        <u/>
        <sz val="11"/>
        <color rgb="FF0070C0"/>
        <rFont val="Calibri (Body)"/>
      </rPr>
      <t>This project responds to a need for a research centre to assist trade unions with technical expertise</t>
    </r>
    <r>
      <rPr>
        <sz val="11"/>
        <color rgb="FF0070C0"/>
        <rFont val="Calibri"/>
        <family val="2"/>
        <scheme val="minor"/>
      </rPr>
      <t>: This project responds to a need for a research centre to assist trade unions with technical expertise, including reviewing available research and the implications for workers; identifying and helping to analyse different levels of engagement with other stakeholders; and sharing experiences with similar structural changes in South Africa and internationally. The Labour School resolved to establish a just transition centre for South Africa that will provide the three Federations with technical expertise. The Just transition Centre for South African unions will be responsible for reviewing research into the impacts of the climate change on the economy; providing relevant technical expertise to the labour movement; and running capacity building programmes and workshops for unions across Federations.</t>
    </r>
  </si>
  <si>
    <r>
      <rPr>
        <u/>
        <sz val="11"/>
        <color rgb="FF0070C0"/>
        <rFont val="Calibri (Body)"/>
      </rPr>
      <t>Support the Public employment programs</t>
    </r>
    <r>
      <rPr>
        <sz val="11"/>
        <color rgb="FF0070C0"/>
        <rFont val="Calibri"/>
        <family val="2"/>
        <scheme val="minor"/>
      </rPr>
      <t>: This proposal requests the AFD to provide support to the ‘innovation sandbox’ role. While the immediacy of the pandemic is over, unemployment remains the single biggest cause of poverty and income inequality in South Africa, now exacerbated by the impact of the energy crisis on the economy – and the employment implications of the energy transition also. This context also requires the Presidential Employment Stimulus to pivot in ways that build on lessons from the Stimulus so far – but that now take those to the next level</t>
    </r>
  </si>
  <si>
    <r>
      <rPr>
        <u/>
        <sz val="11"/>
        <color rgb="FF0070C0"/>
        <rFont val="Calibri (Body)"/>
      </rPr>
      <t xml:space="preserve">Funding to the Environmental Justice Fund (EJF) to provide financial, capacity-building and networking support to community-based organisations (CBOs) and community networks working to advance environmental and climate justice in South Africa: </t>
    </r>
    <r>
      <rPr>
        <sz val="11"/>
        <color rgb="FF0070C0"/>
        <rFont val="Calibri"/>
        <family val="2"/>
        <scheme val="minor"/>
      </rPr>
      <t xml:space="preserve"> Supporting affected communities to design and implement responses to climate change and environmental injustice, is integral to driving a just transition.</t>
    </r>
  </si>
  <si>
    <r>
      <rPr>
        <u/>
        <sz val="11"/>
        <color rgb="FF0070C0"/>
        <rFont val="Calibri (Body)"/>
      </rPr>
      <t>The Women-Led Coal Transition Mechanism (WOLCOT): A</t>
    </r>
    <r>
      <rPr>
        <sz val="11"/>
        <color rgb="FF0070C0"/>
        <rFont val="Calibri"/>
        <family val="2"/>
        <scheme val="minor"/>
      </rPr>
      <t xml:space="preserve">ims to enhance women’s climate leadership and effective participation in the design and decision-making of coal-to-clean transition strategies and implementation. 
https://w05.international.gc.ca/projectbrowser-banqueprojets/project-projet/details/P010807002 </t>
    </r>
  </si>
  <si>
    <r>
      <rPr>
        <u/>
        <sz val="11"/>
        <color rgb="FF0070C0"/>
        <rFont val="Calibri (Body)"/>
      </rPr>
      <t>Youth in Actio</t>
    </r>
    <r>
      <rPr>
        <u/>
        <sz val="11"/>
        <color rgb="FF0070C0"/>
        <rFont val="Calibri"/>
        <family val="2"/>
        <scheme val="minor"/>
      </rPr>
      <t>n</t>
    </r>
    <r>
      <rPr>
        <sz val="11"/>
        <color rgb="FF0070C0"/>
        <rFont val="Calibri"/>
        <family val="2"/>
        <scheme val="minor"/>
      </rPr>
      <t>: Youth-driven project to support participation of youth in climate debates and decision-making.</t>
    </r>
  </si>
  <si>
    <r>
      <rPr>
        <u/>
        <sz val="11"/>
        <color rgb="FF0070C0"/>
        <rFont val="Calibri (Body)"/>
      </rPr>
      <t>Grant component of the SA-H2 fund</t>
    </r>
    <r>
      <rPr>
        <sz val="11"/>
        <color rgb="FF0070C0"/>
        <rFont val="Calibri"/>
        <family val="2"/>
        <scheme val="minor"/>
      </rPr>
      <t>: SA-H2 is an innovative blended finance fund, that will facilitate and accelerate the development of a green hydrogen sector and circular economy in South Africa.</t>
    </r>
  </si>
  <si>
    <r>
      <rPr>
        <u/>
        <sz val="11"/>
        <color rgb="FF0070C0"/>
        <rFont val="Calibri (Body)"/>
      </rPr>
      <t>Budget for studies/TA/seminars etc., to acccelerate the green hydrogen economy</t>
    </r>
    <r>
      <rPr>
        <sz val="11"/>
        <color rgb="FF0070C0"/>
        <rFont val="Calibri"/>
        <family val="2"/>
        <scheme val="minor"/>
      </rPr>
      <t>: Multiple activities to support skills development and feasibility studies to accelerate the green hydrogen economy.</t>
    </r>
  </si>
  <si>
    <r>
      <rPr>
        <u/>
        <sz val="11"/>
        <color rgb="FF0070C0"/>
        <rFont val="Calibri (Body)"/>
      </rPr>
      <t>A just energy transition</t>
    </r>
    <r>
      <rPr>
        <sz val="11"/>
        <color rgb="FF0070C0"/>
        <rFont val="Calibri"/>
        <family val="2"/>
        <scheme val="minor"/>
      </rPr>
      <t>: Localization, decent work, SMMEs and sustainable livelihoods. The project will analyze clean energy value chains and their relationships with the rest of the economy. This approach provides an interdisciplinary framework for unpacking the complex issues in the clean energy value chain. It will trace consumption and production to the practices, history and relations that are reproduced within the clean energy value chains by analyzing them at different levels, including agents and agencies, structures, processes, relations and the cultural and contextual factors.
https://idrc-crdi.ca/en/project/just-energy-transition-localization-decent-work-smmes-and-sustainable-livelihoods</t>
    </r>
  </si>
  <si>
    <r>
      <rPr>
        <u/>
        <sz val="11"/>
        <color rgb="FF0070C0"/>
        <rFont val="Calibri (Body)"/>
      </rPr>
      <t>Enhancing access to renewable energy</t>
    </r>
    <r>
      <rPr>
        <sz val="11"/>
        <color rgb="FF0070C0"/>
        <rFont val="Calibri"/>
        <family val="2"/>
        <scheme val="minor"/>
      </rPr>
      <t>: A dividend for a just transition to low-carbon economies. This project will address these knowledge gaps by developing a practical framework that can inform future developments and the implementation of just transition pathways. It will assess the effectiveness of different renewable energy technologies in accelerating green jobs creation and a low-carbon trajectory in Uganda and South Africa; analyze the equity and distribution implications of energy transition in vulnerable communities across gender, age, and income groups; develop potential financial and business models to deliver a just transition pathway; and explore appropriate policy and regulatory interventions. The project will generate recommendations for future research and targeted policy interventions.
https://idrc-crdi.ca/en/project/enhancing-access-renewable-energy-dividend-just-transition-low-carbon-economies</t>
    </r>
  </si>
  <si>
    <r>
      <rPr>
        <u/>
        <sz val="11"/>
        <color rgb="FF0070C0"/>
        <rFont val="Calibri (Body)"/>
      </rPr>
      <t>Unlocking Inclusive Policymaking In Priority Areas for Clean Energy Transition</t>
    </r>
    <r>
      <rPr>
        <sz val="11"/>
        <color rgb="FF0070C0"/>
        <rFont val="Calibri"/>
        <family val="2"/>
        <scheme val="minor"/>
      </rPr>
      <t xml:space="preserve">: Cooking, Irrigation and Coal Phase Outs. This project will contribute to addressing three key areas of importance for energy transition (in India, Indonesia, and South Africa) where knowledge gaps are holding back inclusive change, particularly for women and youth, but also marginalized groups. The specific themes have been selected based on experience from IISD’s country programmes on the current state of the debate; the opportunity for transformative change from the application of these elements of transition; and our belief that the impacts of policies on women, youth and marginalized groups has not been sufficiently understood or given adequate consideration in policymaking. The selected themes are:
1. Incubating non-fossil clean cooking solutions (India and Indonesia)
2. Maximizing the social benefits of solar irrigation (India)
3. Ensuring an inclusive approach to just transition for coal mining communities (India and South Africa)
This project covers India, Indonesia and South Africa. The tentative amount for South Africa is CAD$ 400,000. Start date: 1 Jan 2023. End date: June 2026. </t>
    </r>
  </si>
  <si>
    <r>
      <rPr>
        <u/>
        <sz val="11"/>
        <color rgb="FF0070C0"/>
        <rFont val="Calibri (Body)"/>
      </rPr>
      <t>Operationalising a just transition in Africa</t>
    </r>
    <r>
      <rPr>
        <sz val="11"/>
        <color rgb="FF0070C0"/>
        <rFont val="Calibri"/>
        <family val="2"/>
        <scheme val="minor"/>
      </rPr>
      <t xml:space="preserve">: This project will conduct an in-depth analysis of the pathways to achieving transitions towards sustainable, low-carbon and equitable energy systems, including an assessment of capacity needs and skills. It will identify and analyze innovative options for financing in line with emerging energy goals. These include providing at least USD300 million to Africa’s access to clean energy, launched at COP 27, and increasing the continent’s renewable energy capacity to 25% of global renewable energy investments.
Project outputs will include journal articles on topics related to energy and just transition focusing on challenges and opportunities for gender equality and youth participation and leadership. Several policy briefs, produced in collaboration with national stakeholders and researchers, will identify policy-oriented entry points. This project covers Kenya and South Africa. Total project amount: CAD$ 703,100. The tentative amount for South Africa is CAD$ 210,000. Start date: 1 March 2023 for 30 months).
https://idrc-crdi.ca/en/project/operationalizing-just-transition-africa </t>
    </r>
  </si>
  <si>
    <r>
      <rPr>
        <u/>
        <sz val="11"/>
        <color rgb="FF0070C0"/>
        <rFont val="Calibri (Body)"/>
      </rPr>
      <t>iLembe Local Economic Development Programme</t>
    </r>
    <r>
      <rPr>
        <sz val="11"/>
        <color rgb="FF0070C0"/>
        <rFont val="Calibri"/>
        <family val="2"/>
        <scheme val="minor"/>
      </rPr>
      <t xml:space="preserve">: Support to asset management and master planning, revenue and supply chain management, installation of a SCADA system, support to non-revenue electricity </t>
    </r>
  </si>
  <si>
    <r>
      <rPr>
        <u/>
        <sz val="11"/>
        <color rgb="FF0070C0"/>
        <rFont val="Calibri (Body)"/>
      </rPr>
      <t>PINK (Procurement, Infrastructure Development &amp; Knowledge Management)</t>
    </r>
    <r>
      <rPr>
        <sz val="11"/>
        <color rgb="FF0070C0"/>
        <rFont val="Calibri"/>
        <family val="2"/>
        <scheme val="minor"/>
      </rPr>
      <t>: Technical assistance to selected municipalities on procurement and SCM, infrastructure planning (with the implementation of the Infrastructure Delivery Management System (IDMS) &amp; knowledge management (e.g. communities of practice)</t>
    </r>
  </si>
  <si>
    <r>
      <rPr>
        <u/>
        <sz val="11"/>
        <color rgb="FF0070C0"/>
        <rFont val="Calibri (Body)"/>
      </rPr>
      <t>Career Path Development for Employment (CPD4E) - SECO</t>
    </r>
    <r>
      <rPr>
        <sz val="11"/>
        <color rgb="FF0070C0"/>
        <rFont val="Calibri"/>
        <family val="2"/>
        <scheme val="minor"/>
      </rPr>
      <t>: Applying a more integrated employment promotion approach, i.e. shift from the exclusive focus on improving the quality of TVETs and will focus on employment promotion.</t>
    </r>
  </si>
  <si>
    <r>
      <rPr>
        <u/>
        <sz val="11"/>
        <color rgb="FF0070C0"/>
        <rFont val="Calibri (Body)"/>
      </rPr>
      <t>Phase II to look into supporting IPP funding mechanisms</t>
    </r>
    <r>
      <rPr>
        <sz val="11"/>
        <color rgb="FF0070C0"/>
        <rFont val="Calibri"/>
        <family val="2"/>
        <scheme val="minor"/>
      </rPr>
      <t>: MCICP aims to foster reliable economic framework conditions for robust private sector growth, to design and implement systemic investment climate reforms, and to foster inclusive and sustainable job creation. Under Phase II, support is provided to the enabling environment for doing business (e.g. a one stop shop for IPP investments)</t>
    </r>
  </si>
  <si>
    <t>Implementing Entity</t>
  </si>
  <si>
    <t>Infra Impact, KfW; Community Trusts</t>
  </si>
  <si>
    <t>DMRE/ Presidency/ IDC; Municipalities, Provincial Government, State-Owned Entities, private sector</t>
  </si>
  <si>
    <t>DMRE; private sector, civil society, other relevant national institutions</t>
  </si>
  <si>
    <t xml:space="preserve">IDC, KfW (not agreed yet); Private and public companies </t>
  </si>
  <si>
    <t>Investment and Infrastructure Office in the Presidency; DTIC, DMRE, IDC, DFFE, DPWI, SABS, HySA, SANEDI</t>
  </si>
  <si>
    <t>DHET; TVET colleges, training providers, industry associations, NGOs</t>
  </si>
  <si>
    <t>DFFE; Municipalities, Provinces</t>
  </si>
  <si>
    <t>DFFE; As per Technical Cooperation Agreement between GER and SA</t>
  </si>
  <si>
    <t>GEAPP; Eskom</t>
  </si>
  <si>
    <t>CSIR; DHET, Eskom</t>
  </si>
  <si>
    <t>ICLEI; Steve Tshwete Municipality</t>
  </si>
  <si>
    <t>UCT; Presidency, Steve Tswhete Local Municipality, CoGTA, MP Province</t>
  </si>
  <si>
    <t>CST; PCC</t>
  </si>
  <si>
    <t>Oneworld; IDC</t>
  </si>
  <si>
    <t>Western Cape Economic Development Partnership; PCC</t>
  </si>
  <si>
    <t>JET Labour Center through TIPS; Presidency, with support from the NT</t>
  </si>
  <si>
    <t>TIPS; Presidency, with support from the NT</t>
  </si>
  <si>
    <t>Environmental Justice Fund; Community-led environmental justice organisations and networks</t>
  </si>
  <si>
    <t>IPP Office; Local communities where REIPPP projects are developed</t>
  </si>
  <si>
    <t>LBNL, USAID, SANEDI; DMRE</t>
  </si>
  <si>
    <t>DOE, USAID; DMRE</t>
  </si>
  <si>
    <t>State, Winrock; South African Women</t>
  </si>
  <si>
    <t>Deloitte and NARUC; NERSA, SALGA, DMRE</t>
  </si>
  <si>
    <t>To be implemented by CIF implementing agencies (ie. WB, AfDB, IFC); TBD</t>
  </si>
  <si>
    <t>Institute for Economic Justice (local partner); Just Urban Transition and the Congress of South African Trade Unions</t>
  </si>
  <si>
    <t>SECO, National Treasury; iLembe Municipalities, KZN</t>
  </si>
  <si>
    <t>SECO, National Treasury; Municipalities in Free State &amp; Mpumalanga</t>
  </si>
  <si>
    <t>SECO, World Bank; National Treasury, metros</t>
  </si>
  <si>
    <t>SECO, UNIDO; the dtic, NCPC-SA</t>
  </si>
  <si>
    <t>SECO, IFC; InvestSA, the dtic, selected metros &amp; investment agencies</t>
  </si>
  <si>
    <t>SECO, IFC; Metropolitan municipalities, secondary cities</t>
  </si>
  <si>
    <t>South African Institute for International Affairs; youth</t>
  </si>
  <si>
    <t>Early-stage pipeline scoping in Mpumalanga for JETP SME investment</t>
  </si>
  <si>
    <t>BCG</t>
  </si>
  <si>
    <t>UK043</t>
  </si>
  <si>
    <t>European Union</t>
  </si>
  <si>
    <t>United Kingdom</t>
  </si>
  <si>
    <t>United States</t>
  </si>
  <si>
    <t xml:space="preserve">Presidential Climate Commission </t>
  </si>
  <si>
    <t>National Treasury: COGTA, SALGA, selected municipalities</t>
  </si>
  <si>
    <r>
      <rPr>
        <u/>
        <sz val="11"/>
        <color rgb="FF0070C0"/>
        <rFont val="Calibri"/>
        <family val="2"/>
        <scheme val="minor"/>
      </rPr>
      <t>Presidential Climate Commission (PCC) Energy Modelling</t>
    </r>
    <r>
      <rPr>
        <sz val="11"/>
        <color rgb="FF0070C0"/>
        <rFont val="Calibri"/>
        <family val="2"/>
        <scheme val="minor"/>
      </rPr>
      <t xml:space="preserve">: The funding is to facilitate the PCC work on granular net-zero pathways for the economy and to support South African policy makers to access South African climate related socio-economic modelling focusing on key sectors (transport and energy) and key provinces (Mpumalanga and Eastern Cape). </t>
    </r>
  </si>
  <si>
    <r>
      <rPr>
        <u/>
        <sz val="11"/>
        <color rgb="FF0070C0"/>
        <rFont val="Calibri"/>
        <family val="2"/>
        <scheme val="minor"/>
      </rPr>
      <t>The Climate Change Champions</t>
    </r>
    <r>
      <rPr>
        <sz val="11"/>
        <color rgb="FF0070C0"/>
        <rFont val="Calibri"/>
        <family val="2"/>
        <scheme val="minor"/>
      </rPr>
      <t>: The Climate Change Champions, funded under the thematic programme “Civil Society Organisations (CSOs) and Local Authorities (LAs) 2014-2020”, resulted in the allocation of 5 grants. The specific objective of the call is to increase the participation of South African CSOs in tackling climate change, mitigating greenhouse gases emissions and adapting to its adverse effects. The aim is to tackle climate change while enhancing gender equality and participation of the youth.</t>
    </r>
  </si>
  <si>
    <r>
      <rPr>
        <u/>
        <sz val="11"/>
        <color rgb="FF0070C0"/>
        <rFont val="Calibri"/>
        <family val="2"/>
        <scheme val="minor"/>
      </rPr>
      <t>PCC Stakeholder and community engagement</t>
    </r>
    <r>
      <rPr>
        <sz val="11"/>
        <color rgb="FF0070C0"/>
        <rFont val="Calibri"/>
        <family val="2"/>
        <scheme val="minor"/>
      </rPr>
      <t>: The  funding is to facilitate PCC stakeholder and community engagements in Mpumalanga and Eastern Cape with knowledge products, workshops, dialogues and exchanges of experiences. The PCC will decide on the proposed focus on investment opportunities arising from just transition.</t>
    </r>
  </si>
  <si>
    <r>
      <t>PCC Communication</t>
    </r>
    <r>
      <rPr>
        <sz val="11"/>
        <color rgb="FF0070C0"/>
        <rFont val="Calibri"/>
        <family val="2"/>
        <scheme val="minor"/>
      </rPr>
      <t>: Translation into Venda, Zulu, and isiXhosa of the Just Transition Framework to enhance information accessibility. Additionally, funding will be used to create communication materials and infographics to bolster the PCC stakeholder engagement process.</t>
    </r>
  </si>
  <si>
    <r>
      <t xml:space="preserve">Bridging Inequalities through Greening of Municipal Services: </t>
    </r>
    <r>
      <rPr>
        <sz val="11"/>
        <color rgb="FF0070C0"/>
        <rFont val="Calibri"/>
        <family val="2"/>
        <scheme val="minor"/>
      </rPr>
      <t>The action will support selected South African cities to address some of these key service delivery challenges while focusing on smart and green solutions, enabled by digitalisation and the use of technologies. It will help build adaptive capacity and capabilities in the face of climate change, resource depletion, financial shocks, growing inequality and poverty, in particular inequality in sustainable access to (greener) water, energy or waste management services.</t>
    </r>
  </si>
  <si>
    <r>
      <rPr>
        <u/>
        <sz val="11"/>
        <color rgb="FF0070C0"/>
        <rFont val="Calibri"/>
        <family val="2"/>
        <scheme val="minor"/>
      </rPr>
      <t xml:space="preserve">Response of the Earth System to overshoot, Climate neutrality and negative Emissions under Horizon Europe: </t>
    </r>
    <r>
      <rPr>
        <sz val="11"/>
        <color rgb="FF0070C0"/>
        <rFont val="Calibri"/>
        <family val="2"/>
        <scheme val="minor"/>
      </rPr>
      <t>The RESCUE project will improve knowledge and understanding in area of this call: “Climate and Earth System responses to climate neutrality and net negative emissions”, by pursuing two overall objectives: 1) Quantify the climate and Earth system responses to pathways achieving climate neutrality by Carbon Dioxide Removal (CDR) deployment with and without temperature overshoot, and 2) Assess the potential role of CDR in reducing net GHG emissions, as well as its potential environmental risks and co-benefits.</t>
    </r>
  </si>
  <si>
    <r>
      <rPr>
        <u/>
        <sz val="11"/>
        <color rgb="FF0070C0"/>
        <rFont val="Calibri"/>
        <family val="2"/>
        <scheme val="minor"/>
      </rPr>
      <t xml:space="preserve">Grant to facilitate infrastructure investment of municipalities: </t>
    </r>
    <r>
      <rPr>
        <sz val="11"/>
        <color rgb="FF0070C0"/>
        <rFont val="Calibri"/>
        <family val="2"/>
        <scheme val="minor"/>
      </rPr>
      <t>Infrastructure Investment Programme for SA (IIPSA) was launched in 2014. It focuses on blending of the EU grants with loans from DFIs in support of infrastructure projects. Sustainable energy, transport, green hyrdogen, water are among the focal sectors of the programme. Approx. €35M will be programmed with focus on electricity generation, battery storage, transport, green hydrogen and water.</t>
    </r>
  </si>
  <si>
    <r>
      <rPr>
        <u/>
        <sz val="11"/>
        <color rgb="FF0070C0"/>
        <rFont val="Calibri (Body)"/>
      </rPr>
      <t>Just Urban Transition and Resilience focus for Cities Support Programme</t>
    </r>
    <r>
      <rPr>
        <sz val="11"/>
        <color rgb="FF0070C0"/>
        <rFont val="Calibri"/>
        <family val="2"/>
        <scheme val="minor"/>
      </rPr>
      <t>: Support to South Africa's eight metros in financial and fiscal governance, climate resilient infrastructure and water resilience, and economic development. Plans are underway for a stronger focus on JUT from 2025 onwards.</t>
    </r>
  </si>
  <si>
    <r>
      <rPr>
        <u/>
        <sz val="11"/>
        <color rgb="FF0070C0"/>
        <rFont val="Calibri (Body)"/>
      </rPr>
      <t>Sustainable Cities - Africa Platform</t>
    </r>
    <r>
      <rPr>
        <sz val="11"/>
        <color rgb="FF0070C0"/>
        <rFont val="Calibri"/>
        <family val="2"/>
        <scheme val="minor"/>
      </rPr>
      <t>: Support to participating metros in the development and implementation of climate action plans, energy efficient and resilient infrastructure, for phase II also for secondary cities</t>
    </r>
  </si>
  <si>
    <t>GR001</t>
  </si>
  <si>
    <t>Eskom, KfW</t>
  </si>
  <si>
    <t>GR006</t>
  </si>
  <si>
    <t>DMRE, Munics, NTCSA, NERSA</t>
  </si>
  <si>
    <t>GR009</t>
  </si>
  <si>
    <t>Infra Impact, KfW
not agreed yet</t>
  </si>
  <si>
    <t>GR013</t>
  </si>
  <si>
    <t>GR014</t>
  </si>
  <si>
    <t>South African Renewable Energy Technology Centre (SARETEC)</t>
  </si>
  <si>
    <t>The funding specifically targets JET implementation, with a focus on Just and systemic process support for the transition / capacity building and the subnational level.</t>
  </si>
  <si>
    <r>
      <t xml:space="preserve">Investments in the Power Sector Reform Programme: </t>
    </r>
    <r>
      <rPr>
        <sz val="11"/>
        <color rgb="FF0070C0"/>
        <rFont val="Calibri (Body)"/>
      </rPr>
      <t>Promotion of a sustainable energy transition, e.g. by expanding renewable energy capacities</t>
    </r>
  </si>
  <si>
    <r>
      <rPr>
        <u/>
        <sz val="11"/>
        <color rgb="FF0070C0"/>
        <rFont val="Calibri (Body)"/>
      </rPr>
      <t>SAGEN-CET2 (Capacities for the Energy Transition2)</t>
    </r>
    <r>
      <rPr>
        <sz val="11"/>
        <color rgb="FF0070C0"/>
        <rFont val="Calibri (Body)"/>
      </rPr>
      <t xml:space="preserve">: Funds only available once project is commissioned </t>
    </r>
  </si>
  <si>
    <r>
      <rPr>
        <u/>
        <sz val="11"/>
        <color rgb="FF0070C0"/>
        <rFont val="Calibri (Body)"/>
      </rPr>
      <t>Innovative Financing of Green Infrastructure II</t>
    </r>
    <r>
      <rPr>
        <sz val="11"/>
        <color rgb="FF0070C0"/>
        <rFont val="Calibri (Body)"/>
      </rPr>
      <t>: Expansion of the refinancing facility under phase I.</t>
    </r>
  </si>
  <si>
    <r>
      <rPr>
        <u/>
        <sz val="11"/>
        <color rgb="FF0070C0"/>
        <rFont val="Calibri (Body)"/>
      </rPr>
      <t>Skills &amp; Employment Program (IRM)</t>
    </r>
    <r>
      <rPr>
        <sz val="11"/>
        <color rgb="FF0070C0"/>
        <rFont val="Calibri (Body)"/>
      </rPr>
      <t>: This project promotes skills development and youth employment in the field of IRM (installation, repair and maintenance). With its special focus on township economies, the programme will support the establishment of IRM hubs in selected TVET colleges. The hubs will provide business acceleration support, enabling access to markets and new supply chains as well as training services for targeted local SMEs, thus unlocking the potential for business growth and employment generation. With emphasis on green economy, technical training on renewable energies and the partneship with key industrial centers (like the SEZs in Atlantis, Tshwane North, the Isithebe Eco-Industrial park and Mpumananga based industries) to program diectly aligns with JET.</t>
    </r>
  </si>
  <si>
    <r>
      <rPr>
        <u/>
        <sz val="11"/>
        <color rgb="FF0070C0"/>
        <rFont val="Calibri (Body)"/>
      </rPr>
      <t>Skills4JET</t>
    </r>
    <r>
      <rPr>
        <sz val="11"/>
        <color rgb="FF0070C0"/>
        <rFont val="Calibri (Body)"/>
      </rPr>
      <t xml:space="preserve">: The project promotes technical skills in renewable energy technologies. The project supports a) expansion of SARETEC's training infrastructure, human resources and training offerings (wind, PV &amp; battery storage, possibly H2), b) roll-out of technical training progams to selected TVET colleges (such as PV &amp; battery storage, energy efficiency, solar water heating, CSP) and c) establishing training facilities for renewable engergies supporting ESKOM's JET plans (possibly at the Grootvlei Power Station or at the ESKOM's Academy of Learning - EAL). The project intends to provided training institutions who offer training programms in renewable energies with related infrastructure for own practise and operations, such as PV and battery storage ("Greening TVET"). </t>
    </r>
  </si>
  <si>
    <t>EU007</t>
  </si>
  <si>
    <t>University of Johannesburg</t>
  </si>
  <si>
    <t>UK035</t>
  </si>
  <si>
    <t>UK037</t>
  </si>
  <si>
    <t>UK046</t>
  </si>
  <si>
    <t>Implementation of local economic development strategies and plans including support for JET through economic diversification  - in MP - Mbombela and Steve Tshwete</t>
  </si>
  <si>
    <t>UK047</t>
  </si>
  <si>
    <t>Capacity building for renewable and greentech SMMEs</t>
  </si>
  <si>
    <t>UK051</t>
  </si>
  <si>
    <t>NBI, KfW; TVET Colleges (False Bay and West Cost (WC), Umfolozi (KZN), Tshwane North and Ekhurhuleni West (GT), Evender (MP)) with neigbouring industrial parks and settlements</t>
  </si>
  <si>
    <t>CPUT, KfW; Selected TVET Colleges, ESKOM, IPPs</t>
  </si>
  <si>
    <t>Piloting social ownership models
Labor Market Consortium</t>
  </si>
  <si>
    <r>
      <rPr>
        <u/>
        <sz val="11"/>
        <color rgb="FF0070C0"/>
        <rFont val="Calibri"/>
        <family val="2"/>
        <scheme val="minor"/>
      </rPr>
      <t>Circular economy industrial symbiosis under Horizon Europe</t>
    </r>
    <r>
      <rPr>
        <sz val="11"/>
        <color rgb="FF0070C0"/>
        <rFont val="Calibri"/>
        <family val="2"/>
        <scheme val="minor"/>
      </rPr>
      <t xml:space="preserve">: Circular economy industrial symbiosis </t>
    </r>
  </si>
  <si>
    <r>
      <rPr>
        <u/>
        <sz val="11"/>
        <color rgb="FF0070C0"/>
        <rFont val="Calibri (Body)"/>
      </rPr>
      <t>UK-IFC Market Accelerator for Green Construction (MAGC) Programme – Advisory Services:</t>
    </r>
    <r>
      <rPr>
        <sz val="11"/>
        <color rgb="FF0070C0"/>
        <rFont val="Calibri"/>
        <family val="2"/>
        <scheme val="minor"/>
      </rPr>
      <t xml:space="preserve"> 1. providing technical assistance including building the knowledge and skills base of the industries and governments in the supported countries, 2. improvement and enhancement of IFC’s EDGE building standards, 3. Research,  building evidence by quantifying the financial and emissions case for this demonstration portfolio of buildings to drive wider uptake.</t>
    </r>
  </si>
  <si>
    <r>
      <rPr>
        <u/>
        <sz val="11"/>
        <color rgb="FF0070C0"/>
        <rFont val="Calibri (Body)"/>
      </rPr>
      <t xml:space="preserve">Developing guidelines for responsible land-based investment governance using municipal prototypes: </t>
    </r>
    <r>
      <rPr>
        <sz val="11"/>
        <color rgb="FF0070C0"/>
        <rFont val="Calibri (Body)"/>
      </rPr>
      <t>Cities in SA are critical to economic development and just transition through effective land-use planning, increased investment, and urban governance</t>
    </r>
    <r>
      <rPr>
        <u/>
        <sz val="11"/>
        <color rgb="FF0070C0"/>
        <rFont val="Calibri (Body)"/>
      </rPr>
      <t>.</t>
    </r>
    <r>
      <rPr>
        <sz val="11"/>
        <color rgb="FF0070C0"/>
        <rFont val="Calibri"/>
        <family val="2"/>
        <scheme val="minor"/>
      </rPr>
      <t xml:space="preserve"> Most SA cities, especially secondary cities, have jurisdiction over private, public and traditional land with potential for investment in energy, transport, agriculture, bulk infrastructure, manufacturing, and tourism. However, cities lack capacity to apply land rights related principles and land-use planning methodologies, are unfamiliar with land-use financing options and tools, and require assistance identifying viable opportunities for benefit-sharing with local communities. To promote more effective land-use investment, this project will include TA to local governments on (a) land-based financing – opportunities for land revenues to be reinvested in local economic development, (b) identification and preparation of strategic projects for green economy – including energy, tourism, and green SMEs, and (c) community engagement for benefit-sharing.</t>
    </r>
  </si>
  <si>
    <r>
      <rPr>
        <u/>
        <sz val="11"/>
        <color rgb="FF0070C0"/>
        <rFont val="Calibri"/>
        <family val="2"/>
        <scheme val="minor"/>
      </rPr>
      <t>Creating infrastructure pipeline and implementing projects in JETP sectors- particularly water and energ</t>
    </r>
    <r>
      <rPr>
        <sz val="11"/>
        <color rgb="FF0070C0"/>
        <rFont val="Calibri"/>
        <family val="2"/>
        <scheme val="minor"/>
      </rPr>
      <t xml:space="preserve">y: 80% Creating infrastructure pipeline and implementing projects in JETP sectors- with an initial focus on AfDB projects in Mpumalanga, focused on water and energy distribution. 20% ad hoc technical assistance </t>
    </r>
  </si>
  <si>
    <r>
      <rPr>
        <u/>
        <sz val="11"/>
        <color rgb="FF0070C0"/>
        <rFont val="Calibri (Body)"/>
      </rPr>
      <t>Circular economy industrial symbiosis under Horizon Europe</t>
    </r>
    <r>
      <rPr>
        <sz val="11"/>
        <color rgb="FF0070C0"/>
        <rFont val="Calibri (Body)"/>
      </rPr>
      <t xml:space="preserve">: Circular economy industrial symbiosis </t>
    </r>
  </si>
  <si>
    <t>US038</t>
  </si>
  <si>
    <t>Skills, Just Mpumalanga</t>
  </si>
  <si>
    <t>DOE, USAID, DMRE</t>
  </si>
  <si>
    <t>USAID and NARUC; NERSA, SALGA, DMRE</t>
  </si>
  <si>
    <r>
      <rPr>
        <u/>
        <sz val="11"/>
        <color rgb="FF0070C0"/>
        <rFont val="Calibri"/>
        <family val="2"/>
        <scheme val="minor"/>
      </rPr>
      <t xml:space="preserve">SME Support: </t>
    </r>
    <r>
      <rPr>
        <sz val="11"/>
        <color rgb="FF0070C0"/>
        <rFont val="Calibri"/>
        <family val="2"/>
        <scheme val="minor"/>
      </rPr>
      <t>Catalytic grant funding to be deployed in a blended finance structure using first loss capital and/or investment fund support to leverage private capital and  de-risk investment in SMEs in Mpumalanga.</t>
    </r>
  </si>
  <si>
    <r>
      <rPr>
        <u/>
        <sz val="11"/>
        <color rgb="FF0070C0"/>
        <rFont val="Calibri"/>
        <family val="2"/>
        <scheme val="minor"/>
      </rPr>
      <t xml:space="preserve">JETP Civic Engagement in Mpumalanga: </t>
    </r>
    <r>
      <rPr>
        <sz val="11"/>
        <color rgb="FF0070C0"/>
        <rFont val="Calibri"/>
        <family val="2"/>
        <scheme val="minor"/>
      </rPr>
      <t xml:space="preserve">Activity focused on informing and engaging communities in Mpumalanga on JETP and preparing communities to actively participate in decision-making around the transition.  </t>
    </r>
  </si>
  <si>
    <r>
      <rPr>
        <u/>
        <sz val="11"/>
        <color rgb="FF0070C0"/>
        <rFont val="Calibri"/>
        <family val="2"/>
        <scheme val="minor"/>
      </rPr>
      <t xml:space="preserve">Electricity Sector Strengthening: </t>
    </r>
    <r>
      <rPr>
        <sz val="11"/>
        <color rgb="FF0070C0"/>
        <rFont val="Calibri"/>
        <family val="2"/>
        <scheme val="minor"/>
      </rPr>
      <t xml:space="preserve"> Technical Assistance Grant program focused on electricity sector strengthening, including municipal support for energy planning and renewable energy skills training.</t>
    </r>
  </si>
  <si>
    <r>
      <rPr>
        <u/>
        <sz val="11"/>
        <color rgb="FF0070C0"/>
        <rFont val="Calibri"/>
        <family val="2"/>
        <scheme val="minor"/>
      </rPr>
      <t xml:space="preserve">Coal Ash Beneficiation: </t>
    </r>
    <r>
      <rPr>
        <sz val="11"/>
        <color rgb="FF0070C0"/>
        <rFont val="Calibri"/>
        <family val="2"/>
        <scheme val="minor"/>
      </rPr>
      <t xml:space="preserve">Support for remediation and repurposing of coal mining land in Mpumalanga by creating a circular economy around coal ash beneficiation that will support repurposing efforts at Eskom’s upcoming coal-fired power plants to be decommissioned (Hendrina, Grootvlei, and Camden).  Specifically, these funds will support: (i) a mine waste in construction pilot project, building off a current Eskom project, using legacy coal fly ash for cement, building material, and mine backfill; (ii) a rare earth elements (REE) feasibility study analyzing the supply chain for critical minerals; and (iii) training and education activities related to worker safety.
</t>
    </r>
  </si>
  <si>
    <t>USAID Power to the People</t>
  </si>
  <si>
    <r>
      <rPr>
        <u/>
        <sz val="11"/>
        <color rgb="FF0070C0"/>
        <rFont val="Calibri"/>
        <family val="2"/>
        <scheme val="minor"/>
      </rPr>
      <t xml:space="preserve">Electricity Decarbonization Investment Assessment: </t>
    </r>
    <r>
      <rPr>
        <sz val="11"/>
        <color rgb="FF0070C0"/>
        <rFont val="Calibri"/>
        <family val="2"/>
        <scheme val="minor"/>
      </rPr>
      <t>Scenario analysis aimed at determining optimum pathways to deploy clean energy technologies and assess the abatement costs of various strategies in support of JET-IP's investment decisions.</t>
    </r>
  </si>
  <si>
    <r>
      <rPr>
        <u/>
        <sz val="11"/>
        <color rgb="FF0070C0"/>
        <rFont val="Calibri"/>
        <family val="2"/>
        <scheme val="minor"/>
      </rPr>
      <t xml:space="preserve">Transmission Assessment: </t>
    </r>
    <r>
      <rPr>
        <sz val="11"/>
        <color rgb="FF0070C0"/>
        <rFont val="Calibri"/>
        <family val="2"/>
        <scheme val="minor"/>
      </rPr>
      <t>Needs Analysis to determine additional contextual barriers and challenges of electrificiation vis a vis Transmission infrastrucutre, and provide the technical support for South Africa to develop a roadmap to adopt electro-technologies and expand utility-scale renewable energy capacity in end-use sectors as enabled by an expanded transmission system.</t>
    </r>
  </si>
  <si>
    <r>
      <rPr>
        <u/>
        <sz val="11"/>
        <color rgb="FF0070C0"/>
        <rFont val="Calibri"/>
        <family val="2"/>
        <scheme val="minor"/>
      </rPr>
      <t>Renewable Energy Integration:</t>
    </r>
    <r>
      <rPr>
        <sz val="11"/>
        <color rgb="FF0070C0"/>
        <rFont val="Calibri"/>
        <family val="2"/>
        <scheme val="minor"/>
      </rPr>
      <t xml:space="preserve"> Activites to build on established and substantial co-operation among U.S. and South African partners through the Global Power System Transformation Consortium (G-PST).</t>
    </r>
  </si>
  <si>
    <r>
      <rPr>
        <u/>
        <sz val="11"/>
        <color rgb="FF0070C0"/>
        <rFont val="Calibri"/>
        <family val="2"/>
        <scheme val="minor"/>
      </rPr>
      <t xml:space="preserve">Municipal Energy Planning: </t>
    </r>
    <r>
      <rPr>
        <sz val="11"/>
        <color rgb="FF0070C0"/>
        <rFont val="Calibri"/>
        <family val="2"/>
        <scheme val="minor"/>
      </rPr>
      <t>Training to municipalities on topics identified in the JET-IP such as resource planning, modernized distribution grid operation and governance, appropriate ancillary services, publicly owned renewable electricity generation and procurement, appropriate local large and distributed embedded generation, demand-side management (DSM), investment in new energy vehicles (NEV) and strategic off-grid renewable generation.</t>
    </r>
  </si>
  <si>
    <r>
      <rPr>
        <u/>
        <sz val="11"/>
        <color rgb="FF0070C0"/>
        <rFont val="Calibri"/>
        <family val="2"/>
        <scheme val="minor"/>
      </rPr>
      <t>Municipal Revenue Management Support: T</t>
    </r>
    <r>
      <rPr>
        <sz val="11"/>
        <color rgb="FF0070C0"/>
        <rFont val="Calibri"/>
        <family val="2"/>
        <scheme val="minor"/>
      </rPr>
      <t>echnical assistance to municipalities to revise tariff structures to better align their revenue raising process with the country decarbonization objectives.</t>
    </r>
  </si>
  <si>
    <r>
      <rPr>
        <u/>
        <sz val="11"/>
        <color rgb="FF0070C0"/>
        <rFont val="Calibri"/>
        <family val="2"/>
        <scheme val="minor"/>
      </rPr>
      <t>Transmission PPPs: S</t>
    </r>
    <r>
      <rPr>
        <sz val="11"/>
        <color rgb="FF0070C0"/>
        <rFont val="Calibri"/>
        <family val="2"/>
        <scheme val="minor"/>
      </rPr>
      <t>upport to PMU; scope still being determined but can training &amp; capacity building on private sector transmission options and opportunities, including legal and regulatory mapping and gap analysis, and the development of contracting capacity, leveraging the Understanding Power Transmission Financing handbook.</t>
    </r>
  </si>
  <si>
    <r>
      <rPr>
        <u/>
        <sz val="11"/>
        <color rgb="FF0070C0"/>
        <rFont val="Calibri"/>
        <family val="2"/>
        <scheme val="minor"/>
      </rPr>
      <t>Eskom Transmission Grant</t>
    </r>
    <r>
      <rPr>
        <sz val="11"/>
        <color rgb="FF0070C0"/>
        <rFont val="Calibri"/>
        <family val="2"/>
        <scheme val="minor"/>
      </rPr>
      <t>: In July 2023, USTDA awarded a technical assistance grant to Eskom to explore innovative technologies that can transform power delivery and increase the transmission grid’s capacity to absorb new, renewable sources of energy generation and reduce the frequency of power cuts across the country. Eskom selected Idaho-based POWER Engineers, Inc., to conduct the technical assistance. The technical assistance will explore three distinct areas of technology that are critical near-term priorities for South Africa’s grid: artificial intelligence tools for system stability, energy storage systems and market modeling for cross-border energy trading structures. The technical assistance will assess the applicability and effectiveness of each technology and approach in South Africa. https://www.ustda.gov/ustda-eskom-partner-on-transmission-grid-transformation/</t>
    </r>
  </si>
  <si>
    <r>
      <rPr>
        <u/>
        <sz val="11"/>
        <color rgb="FF0070C0"/>
        <rFont val="Calibri"/>
        <family val="2"/>
        <scheme val="minor"/>
      </rPr>
      <t xml:space="preserve">Project Preparation Funding and Technical Assistance Grants: </t>
    </r>
    <r>
      <rPr>
        <sz val="11"/>
        <color rgb="FF0070C0"/>
        <rFont val="Calibri"/>
        <family val="2"/>
        <scheme val="minor"/>
      </rPr>
      <t>For feasibility studies, technical assistance, and pilot projects in the clean energy and transportation sectors. Can support technologies such as clean and renewable power generation, including green hydrogen; solar minigrids and distributed renewable energy resources; energy storage through hydrogen fuel cells, batteries and other storage strategies; smart grid for electricity transmission and distribution, including dynamic utility infrastructure; energy efficiency and demand-side management; electric vehicle infrastructure; and advanced clean energy technologies that are commercially deployed or have been successfully piloted.</t>
    </r>
  </si>
  <si>
    <r>
      <rPr>
        <u/>
        <sz val="11"/>
        <color rgb="FF0070C0"/>
        <rFont val="Calibri (Body)"/>
      </rPr>
      <t>USTDA Clean Energy and Climate Infrastructure Event Series</t>
    </r>
    <r>
      <rPr>
        <sz val="11"/>
        <color rgb="FF0070C0"/>
        <rFont val="Calibri"/>
        <family val="2"/>
        <scheme val="minor"/>
      </rPr>
      <t>: As part of the Clean Energy and Climate Infrastructure Event Series that promotes cooperation between the U.S. and South African public and private sectors on topics such as transmission and distribution, green hydrogen, and municipal energy, USTDA hosted an RTM in February 2024, where a South African delegation traveled to Texas and California to learn about U.S. innovation when it comes to Green Hydrogen. The RTM followed a green hydrogen workshop in South Africa between October 31 and November 1, 2022. The second workshop on Smart Transmission is scheduled to take place June 18-19 in Johannesburg, and the second RTM on municipal energy is set to convene in October.</t>
    </r>
  </si>
  <si>
    <r>
      <rPr>
        <u/>
        <sz val="11"/>
        <color rgb="FF0070C0"/>
        <rFont val="Calibri"/>
        <family val="2"/>
        <scheme val="minor"/>
      </rPr>
      <t xml:space="preserve">The Department of State, Bureau of Energy Resources' Power Sector Program Accelerating Women’s Empowerment in Energy (AWEE) project </t>
    </r>
    <r>
      <rPr>
        <sz val="11"/>
        <color rgb="FF0070C0"/>
        <rFont val="Calibri"/>
        <family val="2"/>
        <scheme val="minor"/>
      </rPr>
      <t>-is providing small grants to local organizations to address the barriers to women’s entry, promotion, and retention in South Africa's clean energy sector.</t>
    </r>
  </si>
  <si>
    <r>
      <rPr>
        <u/>
        <sz val="11"/>
        <color rgb="FF0070C0"/>
        <rFont val="Calibri"/>
        <family val="2"/>
        <scheme val="minor"/>
      </rPr>
      <t>USAID "Invest"</t>
    </r>
    <r>
      <rPr>
        <sz val="11"/>
        <color rgb="FF0070C0"/>
        <rFont val="Calibri"/>
        <family val="2"/>
        <scheme val="minor"/>
      </rPr>
      <t>: Mobilization of $33.5 million in private sector investment for clean energy in South Africa</t>
    </r>
  </si>
  <si>
    <r>
      <rPr>
        <u/>
        <sz val="11"/>
        <color rgb="FF0070C0"/>
        <rFont val="Calibri"/>
        <family val="2"/>
        <scheme val="minor"/>
      </rPr>
      <t xml:space="preserve">1. Eskom Transmission Infrastructure Funding Options Report </t>
    </r>
    <r>
      <rPr>
        <sz val="11"/>
        <color rgb="FF0070C0"/>
        <rFont val="Calibri"/>
        <family val="2"/>
        <scheme val="minor"/>
      </rPr>
      <t>2. Support to SANEDI or Eskom with the development of a roadmap for establishing an ISMO or DSMO 3. Industry knowledge building: private sector financing of transmission grids</t>
    </r>
  </si>
  <si>
    <r>
      <rPr>
        <u/>
        <sz val="11"/>
        <color rgb="FF0070C0"/>
        <rFont val="Calibri"/>
        <family val="2"/>
        <scheme val="minor"/>
      </rPr>
      <t xml:space="preserve">1. ESKOM - Mini-grid Development Support via CSIR Microgrid Centre of Excellence </t>
    </r>
    <r>
      <rPr>
        <sz val="11"/>
        <color rgb="FF0070C0"/>
        <rFont val="Calibri"/>
        <family val="2"/>
        <scheme val="minor"/>
      </rPr>
      <t>2. Assistance to South African Municipalities with Distribution Concessions 3. Assessment of the viability of a distribution concession at a selected municipality</t>
    </r>
  </si>
  <si>
    <r>
      <rPr>
        <u/>
        <sz val="11"/>
        <color rgb="FF0070C0"/>
        <rFont val="Calibri"/>
        <family val="2"/>
        <scheme val="minor"/>
      </rPr>
      <t xml:space="preserve">1. Assessment of barriers and enablers to rooftop solar uptake in South Africa </t>
    </r>
    <r>
      <rPr>
        <sz val="11"/>
        <color rgb="FF0070C0"/>
        <rFont val="Calibri"/>
        <family val="2"/>
        <scheme val="minor"/>
      </rPr>
      <t>2.Ad hoc transaction support for South African energy companies 3. Transaction support for C&amp;I plant development</t>
    </r>
  </si>
  <si>
    <r>
      <rPr>
        <u/>
        <sz val="11"/>
        <color rgb="FF0070C0"/>
        <rFont val="Calibri"/>
        <family val="2"/>
        <scheme val="minor"/>
      </rPr>
      <t xml:space="preserve">1.JET Municipality Readiness and Awareness </t>
    </r>
    <r>
      <rPr>
        <sz val="11"/>
        <color rgb="FF0070C0"/>
        <rFont val="Calibri"/>
        <family val="2"/>
        <scheme val="minor"/>
      </rPr>
      <t>2. JET coordination support and awareness raising 3. SA municipality customer education activity (revenue improvement, EE, RE) 4. Community engagement for JET in Mpumalanga 5. SALGA and SAEP support program to Mpumalanga municipalities</t>
    </r>
  </si>
  <si>
    <r>
      <rPr>
        <u/>
        <sz val="11"/>
        <color rgb="FF0070C0"/>
        <rFont val="Calibri"/>
        <family val="2"/>
        <scheme val="minor"/>
      </rPr>
      <t>SALGA</t>
    </r>
    <r>
      <rPr>
        <sz val="11"/>
        <color rgb="FF0070C0"/>
        <rFont val="Calibri"/>
        <family val="2"/>
        <scheme val="minor"/>
      </rPr>
      <t>: Municipality network optimization for technical loss reduction</t>
    </r>
  </si>
  <si>
    <r>
      <rPr>
        <u/>
        <sz val="11"/>
        <color rgb="FF0070C0"/>
        <rFont val="Calibri"/>
        <family val="2"/>
        <scheme val="minor"/>
      </rPr>
      <t>1. SALGA municipality support off/on grid electrification</t>
    </r>
    <r>
      <rPr>
        <sz val="11"/>
        <color rgb="FF0070C0"/>
        <rFont val="Calibri"/>
        <family val="2"/>
        <scheme val="minor"/>
      </rPr>
      <t xml:space="preserve"> 2. SALGA municipality support Electrification Project Management 3. DMRE Support for Integrated National Electrificiation Plan (INEP) - Electricity Master Planning 4. Options for scaling SHS and other off-grid solutions in South Africa</t>
    </r>
  </si>
  <si>
    <r>
      <rPr>
        <u/>
        <sz val="11"/>
        <color rgb="FF0070C0"/>
        <rFont val="Calibri"/>
        <family val="2"/>
        <scheme val="minor"/>
      </rPr>
      <t>All other municipalities</t>
    </r>
    <r>
      <rPr>
        <sz val="11"/>
        <color rgb="FF0070C0"/>
        <rFont val="Calibri"/>
        <family val="2"/>
        <scheme val="minor"/>
      </rPr>
      <t>: 1. SALGA project finance fundamentals refresher training for municipalities 2. SALGA – Municipality energy strategy and plan support 3. SALGA knowledge product for JET 4. Support municipalities with approaches and required activities for entering into long-term PPAs with IPPs 5. Musina-Makhado Special Economic Zone (MMSEZ) project finance training 6. Follow-on project finance support to SALGA municipalities 7. SALGA Assist municipalities to assess the viability of deploying battery storage and other new technologies in their systems 8. Transaction support to City Power 9. Power project development support for municipalities</t>
    </r>
  </si>
  <si>
    <r>
      <rPr>
        <u/>
        <sz val="11"/>
        <color rgb="FF0070C0"/>
        <rFont val="Calibri"/>
        <family val="2"/>
        <scheme val="minor"/>
      </rPr>
      <t>City of Cape Town support technical assistance to support</t>
    </r>
    <r>
      <rPr>
        <sz val="11"/>
        <color rgb="FF0070C0"/>
        <rFont val="Calibri"/>
        <family val="2"/>
        <scheme val="minor"/>
      </rPr>
      <t>: 1. tariff design for IPPs 2. Financial modelling input to 10MW Atlantis Solar Feasibility Study 3. High level pre-feasibility of a 60MWac Solar PV Facility at the Paardevlei site, Somerset-West 4. Energy project transaction support to catalyze investment 5. Energy planning support for load shedding mitigation 6. Risk and commercial review of draft final PPA</t>
    </r>
  </si>
  <si>
    <r>
      <rPr>
        <u/>
        <sz val="11"/>
        <color rgb="FF0070C0"/>
        <rFont val="Calibri"/>
        <family val="2"/>
        <scheme val="minor"/>
      </rPr>
      <t>1. SAEP and DBSA collaboration</t>
    </r>
    <r>
      <rPr>
        <sz val="11"/>
        <color rgb="FF0070C0"/>
        <rFont val="Calibri"/>
        <family val="2"/>
        <scheme val="minor"/>
      </rPr>
      <t>, 2. SALGA - Revenue Management 3. SALGA knowledge product for revenue management</t>
    </r>
  </si>
  <si>
    <r>
      <rPr>
        <u/>
        <sz val="11"/>
        <color rgb="FF0070C0"/>
        <rFont val="Calibri"/>
        <family val="2"/>
        <scheme val="minor"/>
      </rPr>
      <t>1. JET Capacity-building for Women in Energy (Phases 1 and 2)</t>
    </r>
    <r>
      <rPr>
        <sz val="11"/>
        <color rgb="FF0070C0"/>
        <rFont val="Calibri"/>
        <family val="2"/>
        <scheme val="minor"/>
      </rPr>
      <t xml:space="preserve"> 2. Establishing a Women's JET Champions Learning Network</t>
    </r>
  </si>
  <si>
    <r>
      <rPr>
        <u/>
        <sz val="11"/>
        <color rgb="FF0070C0"/>
        <rFont val="Calibri"/>
        <family val="2"/>
        <scheme val="minor"/>
      </rPr>
      <t>TVET support</t>
    </r>
    <r>
      <rPr>
        <sz val="11"/>
        <color rgb="FF0070C0"/>
        <rFont val="Calibri"/>
        <family val="2"/>
        <scheme val="minor"/>
      </rPr>
      <t>: JET technical training to women in electrical /RE field Phases 1 and 2</t>
    </r>
  </si>
  <si>
    <r>
      <rPr>
        <u/>
        <sz val="11"/>
        <color rgb="FF0070C0"/>
        <rFont val="Calibri"/>
        <family val="2"/>
        <scheme val="minor"/>
      </rPr>
      <t xml:space="preserve">1. SANEDI VRE Modeling Capacity Building Activity </t>
    </r>
    <r>
      <rPr>
        <sz val="11"/>
        <color rgb="FF0070C0"/>
        <rFont val="Calibri"/>
        <family val="2"/>
        <scheme val="minor"/>
      </rPr>
      <t>2. Industry knowledge building: VRE integration 3. VRE Integration Workshops/ Webinars 4. Leading practice regulatory regime to enable merchant plant development in South Africa 5. JET Investor Forum 6. GEAPP Municipal Support Facility Implementation Support 7. Scoping study for healthcare facility electrification using RE 8. Health Facility Support Services Electrification: ANOVA Support</t>
    </r>
  </si>
  <si>
    <r>
      <rPr>
        <u/>
        <sz val="11"/>
        <color rgb="FF0070C0"/>
        <rFont val="Calibri"/>
        <family val="2"/>
        <scheme val="minor"/>
      </rPr>
      <t>The Department of State, Bureau of Energy Resources' Power Sector Program (ENR/PSP):</t>
    </r>
    <r>
      <rPr>
        <sz val="11"/>
        <color rgb="FF0070C0"/>
        <rFont val="Calibri"/>
        <family val="2"/>
        <scheme val="minor"/>
      </rPr>
      <t xml:space="preserve"> Electricity regulatory partnership with NERSA implemented by the National Association of Regulatory Utility Commissioners (NARUC). Activities focus on distribution system interconnection fees and standards and on auditing and prudence review of utility investments and procurements. In addition, ENR/PSP is providing new assistance to increase investment in RE generation and to facilitate direct PPAs with RE IPPs As part of this support, ENR/PSP are engaging SALGA and member municipalities to provide support on facilitating wheeling of power between consumers and IPPs, including the development of wheeling charges.</t>
    </r>
  </si>
  <si>
    <r>
      <rPr>
        <u/>
        <sz val="11"/>
        <color rgb="FF0070C0"/>
        <rFont val="Calibri"/>
        <family val="2"/>
        <scheme val="minor"/>
      </rPr>
      <t>With support from the United States Agency for International Development (USAID) and Power Africa, the National
Association of Regulatory Utility Commissioners (NARUC) partnered with the National Energy Regulator of South Africa (NERSA) to provide input and recommendations on the implementation of a new Cost of Supply (COS) Framework for municipality utilities (munis)</t>
    </r>
    <r>
      <rPr>
        <sz val="11"/>
        <color rgb="FF0070C0"/>
        <rFont val="Calibri"/>
        <family val="2"/>
        <scheme val="minor"/>
      </rPr>
      <t>. This engagement was supported with funding from USAID’s Center for Energy, Infrastructure, &amp; Cities (REFS)/Energy Division. Building on a technical peer review held in August-September 2023 of NERSA’s consultation document, Review of Cost of Supply Framework to Develop a New Pricing Methodology for Electricity Distributors in South Africa, this peer-to-peer exchange activity discussed the implementation of the COS framework, cost-reflective tariffs, and periodic tariff adjustments. During the peer-to-peer exchange, NARUC delegates shared their experiences, case studies, and relevant examples of implementing cost-based tariff methodologies as well as performance incentives.</t>
    </r>
  </si>
  <si>
    <t>Beneficiaries</t>
  </si>
  <si>
    <t>Portfolios</t>
  </si>
  <si>
    <t>Electricity</t>
  </si>
  <si>
    <t xml:space="preserve">Priority Areas </t>
  </si>
  <si>
    <t xml:space="preserve">Status </t>
  </si>
  <si>
    <t>Socio-economic investments</t>
  </si>
  <si>
    <t>Description</t>
  </si>
  <si>
    <t>UK050</t>
  </si>
  <si>
    <t xml:space="preserve">Energy Transition Roadmap </t>
  </si>
  <si>
    <r>
      <rPr>
        <u/>
        <sz val="11"/>
        <color rgb="FF0070C0"/>
        <rFont val="Calibri (Body)"/>
      </rPr>
      <t>Strategy report and and an initiative and market structure detailing for an Energy Transition Roadmap (ETR)</t>
    </r>
    <r>
      <rPr>
        <sz val="11"/>
        <color rgb="FF0070C0"/>
        <rFont val="Calibri (Body)"/>
      </rPr>
      <t>: The Energy Council will produce an Energy Transition Roadmap. The ETR will focus on defining potential delivery pathways for an integrated energy system and identifying and detailing out critical initiatives needed through to 2034 to drive implementation of an energy transition plan, in support of South Africa's energy transition and NDCs. This fund will be for the continuation of an inception report of the ETR</t>
    </r>
  </si>
  <si>
    <r>
      <rPr>
        <u/>
        <sz val="11"/>
        <color rgb="FF0070C0"/>
        <rFont val="Calibri (Body)"/>
      </rPr>
      <t>Eskom Transmission Grant</t>
    </r>
    <r>
      <rPr>
        <sz val="11"/>
        <color rgb="FF0070C0"/>
        <rFont val="Calibri"/>
        <family val="2"/>
        <scheme val="minor"/>
      </rPr>
      <t>: In July 2023, USTDA awarded a technical assistance grant to Eskom to explore innovative technologies that can transform power delivery and increase the transmission grid’s capacity to absorb new, renewable sources of energy generation and reduce the frequency of power cuts across the country. Eskom selected Idaho-based POWER Engineers, Inc., to conduct the technical assistance. The technical assistance will explore three distinct areas of technology that are critical near-term priorities for South Africa’s grid: artificial intelligence tools for system stability, energy storage systems and market modeling for cross-border energy trading structures. The technical assistance will assess the applicability and effectiveness of each technology and approach in South Africa. https://www.ustda.gov/ustda-eskom-partner-on-transmission-grid-transformation/</t>
    </r>
  </si>
  <si>
    <r>
      <rPr>
        <u/>
        <sz val="11"/>
        <color rgb="FF0070C0"/>
        <rFont val="Calibri (Body)"/>
      </rPr>
      <t xml:space="preserve">Project Preparation Funding and Technical Assistance Grants: </t>
    </r>
    <r>
      <rPr>
        <sz val="11"/>
        <color rgb="FF0070C0"/>
        <rFont val="Calibri (Body)"/>
      </rPr>
      <t>F</t>
    </r>
    <r>
      <rPr>
        <sz val="11"/>
        <color rgb="FF0070C0"/>
        <rFont val="Calibri"/>
        <family val="2"/>
        <scheme val="minor"/>
      </rPr>
      <t>or feasibility studies, technical assistance, and pilot projects in the clean energy and transportation sectors. Can support technologies such as clean and renewable power generation, including green hydrogen; solar minigrids and distributed renewable energy resources; energy storage through hydrogen fuel cells, batteries and other storage strategies; smart grid for electricity transmission and distribution, including dynamic utility infrastructure; energy efficiency and demand-side management; electric vehicle infrastructure; and advanced clean energy technologies that are commercially deployed or have been successfully piloted.</t>
    </r>
  </si>
  <si>
    <r>
      <rPr>
        <u/>
        <sz val="11"/>
        <color rgb="FF0070C0"/>
        <rFont val="Calibri (Body)"/>
      </rPr>
      <t>USTDA Green Hydrogen Industry Workshop</t>
    </r>
    <r>
      <rPr>
        <sz val="11"/>
        <color rgb="FF0070C0"/>
        <rFont val="Calibri"/>
        <family val="2"/>
        <scheme val="minor"/>
      </rPr>
      <t>: As part of the USTDA Clean Energy and Climate Infrastructure Event Series that promote cooperation between the U.S. and South African public and private sectors on topics such as transmission and distribution, green hydrogen, and municipal energy, the first event in the series took place on October 31 and November 1, 2022. USTDA hosted a South Africa Green Hydrogen Workshop in Cape Town to convene South African public and private sector stakeholders with U.S. industry to discuss various technical, regulatory, and enabling environment topics related to green hydrogen that can help catalyze the sector in South Africa and open market opportunities.</t>
    </r>
  </si>
  <si>
    <r>
      <rPr>
        <u/>
        <sz val="11"/>
        <color rgb="FF0070C0"/>
        <rFont val="Calibri (Body)"/>
      </rPr>
      <t>USAID</t>
    </r>
    <r>
      <rPr>
        <u/>
        <sz val="11"/>
        <color rgb="FF0070C0"/>
        <rFont val="Calibri"/>
        <family val="2"/>
        <scheme val="minor"/>
      </rPr>
      <t xml:space="preserve"> Power to the People</t>
    </r>
  </si>
  <si>
    <r>
      <rPr>
        <u/>
        <sz val="11"/>
        <color rgb="FF0070C0"/>
        <rFont val="Calibri (Body)"/>
      </rPr>
      <t>USAID "Invest"</t>
    </r>
    <r>
      <rPr>
        <sz val="11"/>
        <color rgb="FF0070C0"/>
        <rFont val="Calibri"/>
        <family val="2"/>
        <scheme val="minor"/>
      </rPr>
      <t>: Mobilization of $33.5 million in private sector investment for clean energy in South Africa</t>
    </r>
  </si>
  <si>
    <r>
      <rPr>
        <u/>
        <sz val="11"/>
        <color rgb="FF0070C0"/>
        <rFont val="Calibri (Body)"/>
      </rPr>
      <t xml:space="preserve">1. Eskom Transmission Infrastructure Funding Options Report </t>
    </r>
    <r>
      <rPr>
        <sz val="11"/>
        <color rgb="FF0070C0"/>
        <rFont val="Calibri"/>
        <family val="2"/>
        <scheme val="minor"/>
      </rPr>
      <t>2. Support to SANEDI or Eskom with the development of a roadmap for establishing an ISMO or DSMO 3. Industry knowledge building: private sector financing of transmission grids</t>
    </r>
  </si>
  <si>
    <r>
      <rPr>
        <u/>
        <sz val="11"/>
        <color rgb="FF0070C0"/>
        <rFont val="Calibri (Body)"/>
      </rPr>
      <t xml:space="preserve">1. ESKOM - Mini-grid Development Support via CSIR Microgrid Centre of Excellence </t>
    </r>
    <r>
      <rPr>
        <sz val="11"/>
        <color rgb="FF0070C0"/>
        <rFont val="Calibri"/>
        <family val="2"/>
        <scheme val="minor"/>
      </rPr>
      <t>2. Assistance to South African Municipalities with Distribution Concessions 3. Assessment of the viability of a distribution concession at a selected municipality</t>
    </r>
  </si>
  <si>
    <r>
      <rPr>
        <u/>
        <sz val="11"/>
        <color rgb="FF0070C0"/>
        <rFont val="Calibri (Body)"/>
      </rPr>
      <t xml:space="preserve">1. Assessment of barriers and enablers to rooftop solar uptake in South Africa </t>
    </r>
    <r>
      <rPr>
        <sz val="11"/>
        <color rgb="FF0070C0"/>
        <rFont val="Calibri"/>
        <family val="2"/>
        <scheme val="minor"/>
      </rPr>
      <t>2.Ad hoc transaction support for South African energy companies 3. Transaction support for C&amp;I plant development</t>
    </r>
  </si>
  <si>
    <r>
      <rPr>
        <u/>
        <sz val="11"/>
        <color rgb="FF0070C0"/>
        <rFont val="Calibri (Body)"/>
      </rPr>
      <t xml:space="preserve">1.JET Municipality Readiness and Awareness </t>
    </r>
    <r>
      <rPr>
        <sz val="11"/>
        <color rgb="FF0070C0"/>
        <rFont val="Calibri"/>
        <family val="2"/>
        <scheme val="minor"/>
      </rPr>
      <t>2. JET coordination support and awareness raising 3. SA municipality customer education activity (revenue improvement, EE, RE) 4. Community engagement for JET in Mpumalanga 5. SALGA and SAEP support program to Mpumalanga municipalities</t>
    </r>
  </si>
  <si>
    <r>
      <rPr>
        <u/>
        <sz val="11"/>
        <color rgb="FF0070C0"/>
        <rFont val="Calibri (Body)"/>
      </rPr>
      <t>SALGA</t>
    </r>
    <r>
      <rPr>
        <sz val="11"/>
        <color rgb="FF0070C0"/>
        <rFont val="Calibri"/>
        <family val="2"/>
        <scheme val="minor"/>
      </rPr>
      <t>: Municipality network optimization for technical loss reduction</t>
    </r>
  </si>
  <si>
    <r>
      <rPr>
        <u/>
        <sz val="11"/>
        <color rgb="FF0070C0"/>
        <rFont val="Calibri (Body)"/>
      </rPr>
      <t>1. SALGA municipality support off/on grid electrification</t>
    </r>
    <r>
      <rPr>
        <sz val="11"/>
        <color rgb="FF0070C0"/>
        <rFont val="Calibri"/>
        <family val="2"/>
        <scheme val="minor"/>
      </rPr>
      <t xml:space="preserve"> 2. SALGA municipality support Electrification Project Management 3. DMRE Support for Integrated National Electrificiation Plan (INEP) - Electricity Master Planning 4. Options for scaling SHS and other off-grid solutions in South Africa</t>
    </r>
  </si>
  <si>
    <r>
      <rPr>
        <u/>
        <sz val="11"/>
        <color rgb="FF0070C0"/>
        <rFont val="Calibri (Body)"/>
      </rPr>
      <t>All other municipalities</t>
    </r>
    <r>
      <rPr>
        <sz val="11"/>
        <color rgb="FF0070C0"/>
        <rFont val="Calibri"/>
        <family val="2"/>
        <scheme val="minor"/>
      </rPr>
      <t>: 1. SALGA project finance fundamentals refresher training for municipalities 2. SALGA – Municipality energy strategy and plan support 3. SALGA knowledge product for JET 4. Support municipalities with approaches and required activities for entering into long-term PPAs with IPPs 5. Musina-Makhado Special Economic Zone (MMSEZ) project finance training 6. Follow-on project finance support to SALGA municipalities 7. SALGA Assist municipalities to assess the viability of deploying battery storage and other new technologies in their systems 8. Transaction support to City Power 9. Power project development support for municipalities</t>
    </r>
  </si>
  <si>
    <r>
      <rPr>
        <u/>
        <sz val="11"/>
        <color rgb="FF0070C0"/>
        <rFont val="Calibri (Body)"/>
      </rPr>
      <t>City of Cape Town support technical assistance to support</t>
    </r>
    <r>
      <rPr>
        <sz val="11"/>
        <color rgb="FF0070C0"/>
        <rFont val="Calibri"/>
        <family val="2"/>
        <scheme val="minor"/>
      </rPr>
      <t>: 1. tariff design for IPPs 2. Financial modelling input to 10MW Atlantis Solar Feasibility Study 3. High level pre-feasibility of a 60MWac Solar PV Facility at the Paardevlei site, Somerset-West 4. Energy project transaction support to catalyze investment 5. Energy planning support for load shedding mitigation 6. Risk and commercial review of draft final PPA</t>
    </r>
  </si>
  <si>
    <r>
      <rPr>
        <u/>
        <sz val="11"/>
        <color rgb="FF0070C0"/>
        <rFont val="Calibri (Body)"/>
      </rPr>
      <t>1. SAEP and DBSA collaboration</t>
    </r>
    <r>
      <rPr>
        <sz val="11"/>
        <color rgb="FF0070C0"/>
        <rFont val="Calibri"/>
        <family val="2"/>
        <scheme val="minor"/>
      </rPr>
      <t>, 2. SALGA - Revenue Management 3. SALGA knowledge product for revenue management</t>
    </r>
  </si>
  <si>
    <r>
      <rPr>
        <u/>
        <sz val="11"/>
        <color rgb="FF0070C0"/>
        <rFont val="Calibri (Body)"/>
      </rPr>
      <t>1. JET Capacity-building for Women in Energy (Phases 1 and 2)</t>
    </r>
    <r>
      <rPr>
        <sz val="11"/>
        <color rgb="FF0070C0"/>
        <rFont val="Calibri"/>
        <family val="2"/>
        <scheme val="minor"/>
      </rPr>
      <t xml:space="preserve"> 2. Establishing a Women's JET Champions Learning Network</t>
    </r>
  </si>
  <si>
    <r>
      <rPr>
        <u/>
        <sz val="11"/>
        <color rgb="FF0070C0"/>
        <rFont val="Calibri (Body)"/>
      </rPr>
      <t>TVET support</t>
    </r>
    <r>
      <rPr>
        <sz val="11"/>
        <color rgb="FF0070C0"/>
        <rFont val="Calibri"/>
        <family val="2"/>
        <scheme val="minor"/>
      </rPr>
      <t>: JET technical training to women in electrical /RE field Phases 1 and 2</t>
    </r>
  </si>
  <si>
    <r>
      <rPr>
        <u/>
        <sz val="11"/>
        <color rgb="FF0070C0"/>
        <rFont val="Calibri (Body)"/>
      </rPr>
      <t xml:space="preserve">1. SANEDI VRE Modeling Capacity Building Activity </t>
    </r>
    <r>
      <rPr>
        <sz val="11"/>
        <color rgb="FF0070C0"/>
        <rFont val="Calibri"/>
        <family val="2"/>
        <scheme val="minor"/>
      </rPr>
      <t>2. Industry knowledge building: VRE integration 3. VRE Integration Workshops/ Webinars 4. Leading practice regulatory regime to enable merchant plant development in South Africa 5. JET Investor Forum 6. GEAPP Municipal Support Facility Implementation Support 7. Scoping study for healthcare facility electrification using RE 8. Health Facility Support Services Electrification: ANOVA Support</t>
    </r>
  </si>
  <si>
    <r>
      <rPr>
        <u/>
        <sz val="11"/>
        <color rgb="FF0070C0"/>
        <rFont val="Calibri (Body)"/>
      </rPr>
      <t>The Department of State, Bureau of Energy Resources' Power Sector Program (ENR/PSP):</t>
    </r>
    <r>
      <rPr>
        <sz val="11"/>
        <color rgb="FF0070C0"/>
        <rFont val="Calibri"/>
        <family val="2"/>
        <scheme val="minor"/>
      </rPr>
      <t xml:space="preserve"> Electricity regulatory partnership with NERSA implemented by the National Association of Regulatory Utility Commissioners (NARUC). Activities focus on distribution system interconnection fees and standards and on auditing and prudence review of utility investments and procurements. In addition, ENR/PSP is providing new assistance to increase investment in RE generation and to facilitate direct PPAs with RE IPPs As part of this support, ENR/PSP are engaging SALGA and member municipalities to provide support on facilitating wheeling of power between consumers and IPPs, including the development of wheeling charges.</t>
    </r>
  </si>
  <si>
    <t>C. Implementation Phase</t>
  </si>
  <si>
    <t>D. Completed</t>
  </si>
  <si>
    <t>Date of Financing Agreement Signed*</t>
  </si>
  <si>
    <t>End Date</t>
  </si>
  <si>
    <t>Energy Efficiency</t>
  </si>
  <si>
    <t>Road to Rail</t>
  </si>
  <si>
    <t>SAREM</t>
  </si>
  <si>
    <t>GR020*</t>
  </si>
  <si>
    <t>*Subject to the availability of budget funds</t>
  </si>
  <si>
    <r>
      <rPr>
        <u/>
        <sz val="11"/>
        <color rgb="FF0070C0"/>
        <rFont val="Calibri (Body)"/>
      </rPr>
      <t>With support from the United States Agency for International Development (USAID) and Power Africa, the National
Association of Regulatory Utility Commissioners (NARUC) partnered with the National Energy Regulator of South Africa (NERSA) to provide input and recommendations on the implementation of a new Cost of Supply (COS) Framework for municipality utilities (munis)</t>
    </r>
    <r>
      <rPr>
        <sz val="11"/>
        <color rgb="FF0070C0"/>
        <rFont val="Calibri"/>
        <family val="2"/>
        <scheme val="minor"/>
      </rPr>
      <t>. This engagement was supported with funding from USAID’s Center for Energy, Infrastructure, &amp; Cities (REFS)/Energy Division. Building on a technical peer review held in August-September 2023 of NERSA’s consultation document, Review of Cost of Supply Framework to Develop a New Pricing Methodology for Electricity Distributors in South Africa, this peer-to-peer exchange activity discussed the implementation of the COS framework, cost-reflective tariffs, and periodic tariff adjustments. During the peer-to-peer exchange, NARUC delegates shared their experiences, case studies, and relevant examples of implementing cost-based tariff methodologies as well as performance incentives.</t>
    </r>
  </si>
  <si>
    <t>NL006</t>
  </si>
  <si>
    <t>Strengthening social dialogue in the mining sector</t>
  </si>
  <si>
    <t>CNV International</t>
  </si>
  <si>
    <t>SECO, INCA Portfolio Managers, Municipalities</t>
  </si>
  <si>
    <t>DHET, GIZ</t>
  </si>
  <si>
    <t>SECO, GIZ; SALGA, SEA</t>
  </si>
  <si>
    <t>Eskom, NERSA, DMRE, IPPO</t>
  </si>
  <si>
    <t>Eskom, DMRE, IPPO, NERSA</t>
  </si>
  <si>
    <t>NBI, NUMSA, NUM, BUSA, SEIFSA, Western Cape Province</t>
  </si>
  <si>
    <t>Multiple partners; Eskom, Eskom employees, local communities, municipalities, province, knowledge institutes</t>
  </si>
  <si>
    <t xml:space="preserve">Multiple partners amongst others Talbot, Nuffic SA, Green Cape, Gas Unie, RHDHV SA, Rebel SA, Blueberry Concepts </t>
  </si>
  <si>
    <t>UK034</t>
  </si>
  <si>
    <t>Ricardo and ECO</t>
  </si>
  <si>
    <t>Council for Scientific and Industrial Research (CSIR)</t>
  </si>
  <si>
    <t>CamNexus and Green Crowd</t>
  </si>
  <si>
    <t>PwC, GreenCape, National Business Initiative</t>
  </si>
  <si>
    <t xml:space="preserve">GreenCape </t>
  </si>
  <si>
    <t>Trade &amp; Industrial Policy Strategies (TIPS) (Lead), National Labour and Economic Development Institute (NALEDI), Peta Wolpe, GroundWork</t>
  </si>
  <si>
    <t xml:space="preserve">Trade Forward Southern Africa and partners </t>
  </si>
  <si>
    <t xml:space="preserve">ICLEI AFrica </t>
  </si>
  <si>
    <t xml:space="preserve">ICLEI Africa </t>
  </si>
  <si>
    <t xml:space="preserve">Arup South Africa </t>
  </si>
  <si>
    <t>Sustainable Energy Africa (SEA)</t>
  </si>
  <si>
    <t>C40 Cities</t>
  </si>
  <si>
    <t>Nelson Mandela University and Cenex</t>
  </si>
  <si>
    <t>InnovateUK, Worldbank IFC</t>
  </si>
  <si>
    <t>South African Institute of International Affairs (SAIIA), Trade and Industrial Policy Strategies (TIPS), University of Cape Town (UCT) Energy Research Centre, KPMG, Bambili Energy</t>
  </si>
  <si>
    <t>NAACAM and Elangeni TVET College</t>
  </si>
  <si>
    <t>Council for Scientific and Industrial Research (CSIR) and University of Cape Town (UCT)</t>
  </si>
  <si>
    <t xml:space="preserve">UK PACT secondee recruited </t>
  </si>
  <si>
    <t>Ricardo</t>
  </si>
  <si>
    <t xml:space="preserve">Carbon Trust and Green Building Council of South Africa </t>
  </si>
  <si>
    <t>Loughborough University and UCT</t>
  </si>
  <si>
    <t>IFC</t>
  </si>
  <si>
    <t>University of Loughborough, University of Cape Town, Imperial University and University of Central London</t>
  </si>
  <si>
    <t>PwC</t>
  </si>
  <si>
    <t>Ikigai Capital (UK); DNV (UK); Thames Estuary Growth Board (UK); University of Kent Public University; University College London (UK); National Gas Transmission (UK), PLC</t>
  </si>
  <si>
    <t>GreenCrowd and CamNexus</t>
  </si>
  <si>
    <t>PwC and TBC</t>
  </si>
  <si>
    <t>Palladium</t>
  </si>
  <si>
    <t>IFC and Business Partners Limited</t>
  </si>
  <si>
    <t>IFC and Nedbank</t>
  </si>
  <si>
    <t xml:space="preserve">Independent power producer procurement </t>
  </si>
  <si>
    <t xml:space="preserve">University of Pretoria, Pinsent Masons Africa, Kim Adonis Consulting, Cornerstone Infrastructure Advisers, Enterprises University of Pretoria
</t>
  </si>
  <si>
    <t>DMRE, Eskom, NT, SALGA, NERSA, Universities, NTCSA, SACN and the private sector</t>
  </si>
  <si>
    <t>DMRE, Presidency, MoE, OV, NERSA, Eskom, NTCSA, SALGA, Municipalities</t>
  </si>
  <si>
    <t>DHET; TVET college</t>
  </si>
  <si>
    <r>
      <rPr>
        <u/>
        <sz val="11"/>
        <color rgb="FF0070C0"/>
        <rFont val="Calibri"/>
        <family val="2"/>
        <scheme val="minor"/>
      </rPr>
      <t>Clean Energy Innovation Facility (CEIF 1.0) Phase 1</t>
    </r>
    <r>
      <rPr>
        <sz val="11"/>
        <color rgb="FF0070C0"/>
        <rFont val="Calibri"/>
        <family val="2"/>
        <scheme val="minor"/>
      </rPr>
      <t xml:space="preserve"> - CEIF supported the decarbonisation of South Africa's industrial sector through funding piloting and demonstration projects which create a sustainable sift in the local Energy market i.e. piloting green ammonia production using green hydrogen.</t>
    </r>
  </si>
  <si>
    <r>
      <rPr>
        <u/>
        <sz val="11"/>
        <color rgb="FF0070C0"/>
        <rFont val="Calibri (Body)"/>
      </rPr>
      <t>SAGEN-CET (Capacities for the Energy Transition)</t>
    </r>
    <r>
      <rPr>
        <sz val="11"/>
        <color rgb="FF0070C0"/>
        <rFont val="Calibri"/>
        <family val="2"/>
        <scheme val="minor"/>
      </rPr>
      <t>: TA, specifically capacity building on power sector reform topics, organizational development and gender mainstreaming</t>
    </r>
  </si>
  <si>
    <r>
      <rPr>
        <u/>
        <sz val="11"/>
        <color rgb="FF0070C0"/>
        <rFont val="Calibri (Body)"/>
      </rPr>
      <t>South African-German Energy Programme 4 (SAGEN 4)</t>
    </r>
    <r>
      <rPr>
        <sz val="11"/>
        <color rgb="FF0070C0"/>
        <rFont val="Calibri"/>
        <family val="2"/>
        <scheme val="minor"/>
      </rPr>
      <t xml:space="preserve">: South African-German Energy Programme 4 (SAGEN 4): Supports institutions in the South African Energy landscape in implementing the processes and reforms in the fields of power sector reform, energy policy and regulation, power systems planning and operation, embedded generation in distribution networks and municipal energy management systems </t>
    </r>
  </si>
  <si>
    <r>
      <rPr>
        <u/>
        <sz val="11"/>
        <color rgb="FF0070C0"/>
        <rFont val="Calibri (Body)"/>
      </rPr>
      <t>Just transition and labour market arrangements within green transition and climate</t>
    </r>
    <r>
      <rPr>
        <sz val="11"/>
        <color rgb="FF0070C0"/>
        <rFont val="Calibri"/>
        <family val="2"/>
        <scheme val="minor"/>
      </rPr>
      <t>: Projects involve supporting and developing small local businesses and upskilling and education of local workforces, and promoting local engagement.</t>
    </r>
  </si>
  <si>
    <r>
      <rPr>
        <u/>
        <sz val="11"/>
        <color rgb="FF0070C0"/>
        <rFont val="Calibri (Body)"/>
      </rPr>
      <t>Master scholarships for South African partner insitutions, focussing on green and climate related topics</t>
    </r>
    <r>
      <rPr>
        <sz val="11"/>
        <color rgb="FF0070C0"/>
        <rFont val="Calibri"/>
        <family val="2"/>
        <scheme val="minor"/>
      </rPr>
      <t>: On average two South African partners are awarded with a 2-year scholarship to study in Denmark annually on topics related to green transition and climate change.</t>
    </r>
  </si>
  <si>
    <r>
      <rPr>
        <u/>
        <sz val="11"/>
        <color rgb="FF0070C0"/>
        <rFont val="Calibri (Body)"/>
      </rPr>
      <t>Short courses on cross thematic areas for South African programme partners</t>
    </r>
    <r>
      <rPr>
        <sz val="11"/>
        <color rgb="FF0070C0"/>
        <rFont val="Calibri"/>
        <family val="2"/>
        <scheme val="minor"/>
      </rPr>
      <t>: On average 50 scholars benefit from the short courses on an annual basis, learning programme topics include energy efficiency, green transition, climate change, RE, food and agriculture, water management, sustainable cities.</t>
    </r>
  </si>
  <si>
    <r>
      <rPr>
        <u/>
        <sz val="11"/>
        <color rgb="FF0070C0"/>
        <rFont val="Calibri (Body)"/>
      </rPr>
      <t>Research grants for green research consortia South Africa</t>
    </r>
    <r>
      <rPr>
        <sz val="11"/>
        <color rgb="FF0070C0"/>
        <rFont val="Calibri"/>
        <family val="2"/>
        <scheme val="minor"/>
      </rPr>
      <t xml:space="preserve">: Research collaboration on water, energy and, urban development between South Africa and Denmark. Currently, 5 research collaborations ongoing, and 5 research collaborations in the pipeline. </t>
    </r>
  </si>
  <si>
    <r>
      <rPr>
        <u/>
        <sz val="11"/>
        <color rgb="FF0070C0"/>
        <rFont val="Calibri (Body)"/>
      </rPr>
      <t>Grootvlei Just Transition</t>
    </r>
    <r>
      <rPr>
        <sz val="11"/>
        <color rgb="FF0070C0"/>
        <rFont val="Calibri"/>
        <family val="2"/>
        <scheme val="minor"/>
      </rPr>
      <t>: Multiple activities to support the decommissioning of the Grootvlei power station by facilitating the development of alternative livelihoods in the area.</t>
    </r>
  </si>
  <si>
    <r>
      <rPr>
        <u/>
        <sz val="11"/>
        <color rgb="FF0070C0"/>
        <rFont val="Calibri (Body)"/>
      </rPr>
      <t>Blue Deal - partnership between NL and SA on water management</t>
    </r>
    <r>
      <rPr>
        <sz val="11"/>
        <color rgb="FF0070C0"/>
        <rFont val="Calibri"/>
        <family val="2"/>
        <scheme val="minor"/>
      </rPr>
      <t>: One of the 5 projects is in Mpumalanga. Aims to provide 2 million people with access to sufficient, safe and reliable water by 2030. Works at 5 different project, including one in Mbombela, Mpumalanga. Total budget is 8 mln euros.</t>
    </r>
  </si>
  <si>
    <r>
      <rPr>
        <u/>
        <sz val="11"/>
        <color rgb="FF0070C0"/>
        <rFont val="Calibri (Body)"/>
      </rPr>
      <t>Enabling local unions to push for improved working conditions in the mining sector and a fair transit</t>
    </r>
    <r>
      <rPr>
        <sz val="11"/>
        <color rgb="FF0070C0"/>
        <rFont val="Calibri"/>
        <family val="2"/>
        <scheme val="minor"/>
      </rPr>
      <t>ion: CNV International will work with local unions in the mining industry to support with skills and information that enable local unions to push for improved working conditions in the mining sector (i.e. manganese and chromium) and a fair transition out of the coal mining sector.</t>
    </r>
  </si>
  <si>
    <r>
      <rPr>
        <b/>
        <u/>
        <sz val="11"/>
        <color rgb="FF0070C0"/>
        <rFont val="Calibri (Body)"/>
      </rPr>
      <t>Footnote 2 (Start Date):</t>
    </r>
    <r>
      <rPr>
        <sz val="11"/>
        <color rgb="FF0070C0"/>
        <rFont val="Calibri"/>
        <family val="2"/>
        <scheme val="minor"/>
      </rPr>
      <t xml:space="preserve"> All figures are pro-rated from November 2021 and reflect the support provided from COP26 onwards. </t>
    </r>
  </si>
  <si>
    <r>
      <rPr>
        <u/>
        <sz val="11"/>
        <color rgb="FF0070C0"/>
        <rFont val="Calibri (Body)"/>
      </rPr>
      <t>Just Transition to a Decarbonised Economy (JUST SA)</t>
    </r>
    <r>
      <rPr>
        <sz val="11"/>
        <color rgb="FF0070C0"/>
        <rFont val="Calibri"/>
        <family val="2"/>
        <scheme val="minor"/>
      </rPr>
      <t xml:space="preserve">: The JUST SA project, implemented by GIZ, Green Cape, NBI, TIPS, and WWF SA, aims to support South Africa's transition to a low-carbon, climate-resilient economy. GIZ coordinates the program, providing grants and overseeing financial management, while working closely with partners such as the Department of Forestry, Fisheries and the Environment (DFFE), Presidential Climate Commission Secretariat (PCC), and other stakeholders. The project focuses on stakeholder participation in policy development, provincial green economic development, skills development, model projects on municipal level, and mine rehabilitation. </t>
    </r>
  </si>
  <si>
    <r>
      <rPr>
        <u/>
        <sz val="11"/>
        <color rgb="FF0070C0"/>
        <rFont val="Calibri"/>
        <family val="2"/>
        <scheme val="minor"/>
      </rPr>
      <t xml:space="preserve">TVET Support: </t>
    </r>
    <r>
      <rPr>
        <sz val="11"/>
        <color rgb="FF0070C0"/>
        <rFont val="Calibri"/>
        <family val="2"/>
        <scheme val="minor"/>
      </rPr>
      <t xml:space="preserve">Technical assistance to provide skills training (reskilling, upskilling and new skills) to impacted workers and communitities in Mpumalanga. </t>
    </r>
  </si>
  <si>
    <t>JET Grants Register 2024 (Q1) / (Q2) / (Q3)</t>
  </si>
  <si>
    <t>Institutional / South African Partner</t>
  </si>
  <si>
    <t>Beneficiary</t>
  </si>
  <si>
    <t>Energy consumers in South Africa</t>
  </si>
  <si>
    <t>GreenCape, Mpumalanga Green Cluster Agency (MGCA)</t>
  </si>
  <si>
    <t>Owners of mining rights; Investors and developers of RE capacity in Mpumalanga; Planners in Mpumalanga Province</t>
  </si>
  <si>
    <t>GreenCape Alternative Service Delivery Unit (ASDU), Community Organisation Research Council(CORC), MGCA</t>
  </si>
  <si>
    <t>GreenCape Alternative Service Delivery Unit (ASDU), Community Organisation Research Council (CORC), MGCA;  Residents of Nomzamo Agricultural Village in Ermelo, Mpumalanga</t>
  </si>
  <si>
    <t>Citizens in Nomzamo Agricultural Village in Mpumalanga; local municipalities in the Mpumalanga Province</t>
  </si>
  <si>
    <t>(SANEDI, CSIR) Danish Technical University, Danish Energy Agency.</t>
  </si>
  <si>
    <t>SANEDI, CSIR, SAWS</t>
  </si>
  <si>
    <t>Renewable energy policy makers and developers</t>
  </si>
  <si>
    <t>NBI, NUMSA, NUM, BUSA, SEIFSA, Western Cape Province, 3F and Confederation of Danish Industries</t>
  </si>
  <si>
    <t>Labour market organisations and members</t>
  </si>
  <si>
    <t>DFC, Danish Embassy, Danish universities and the participating students</t>
  </si>
  <si>
    <t>Program partner institutions in South Africa (ministries, metros, utilities, and research institutions, etc.)</t>
  </si>
  <si>
    <t>Scholars and their institutions in South Africa</t>
  </si>
  <si>
    <t>Research institutions in South Africa</t>
  </si>
  <si>
    <t>Students and research community in South Africa and Denmark</t>
  </si>
  <si>
    <t>DK012</t>
  </si>
  <si>
    <t>Entrepreneurship and innovation</t>
  </si>
  <si>
    <t>Capacity building in the energy sector</t>
  </si>
  <si>
    <t>Teach A Man to Fish</t>
  </si>
  <si>
    <t>Teach A Man to Fish and 10 selected schools in Mpumalanga</t>
  </si>
  <si>
    <t>Upper Primary Students (grade 8-10) and teachers at 10 different secondary schools in Mpumalanga</t>
  </si>
  <si>
    <t>SAWEA</t>
  </si>
  <si>
    <t>Participants in the various initiatives and events</t>
  </si>
  <si>
    <t>DK014</t>
  </si>
  <si>
    <t xml:space="preserve">World Bank </t>
  </si>
  <si>
    <t>Presidential Climate Commission (PCC)</t>
  </si>
  <si>
    <t>Eskom, DMRP, PCC</t>
  </si>
  <si>
    <t xml:space="preserve">City of Cape Town </t>
  </si>
  <si>
    <t xml:space="preserve">Department of Trade, Industry and Competition (DTIC) </t>
  </si>
  <si>
    <t xml:space="preserve">Department of Forestry, Fisheries and the Environment (DFFE), Mpumalanga Provincial Government </t>
  </si>
  <si>
    <t>Department of Forestry, Fisheries and the Enviornment (DFFE)</t>
  </si>
  <si>
    <t>NBI Private Sector Membership, Business Unity South Africa (BUSA),</t>
  </si>
  <si>
    <t>Low carbon businesses</t>
  </si>
  <si>
    <t>eMalahleni and Steve Tshwete Local Municipalities</t>
  </si>
  <si>
    <t xml:space="preserve">Civil society and trade unions </t>
  </si>
  <si>
    <t>Northern Cape Provincial Government</t>
  </si>
  <si>
    <t xml:space="preserve">King Sabata Dalindyebo, Matzikama, Ray Nkonyeni and Walter Sisuslu Local Municipalities, Development Bank of Southern Africa (DBSA) </t>
  </si>
  <si>
    <t xml:space="preserve">eThekwini Metropolitan Municipality </t>
  </si>
  <si>
    <t xml:space="preserve">City of Johannesburg </t>
  </si>
  <si>
    <t>City of Johannesburg ,Tshwane, Cape Town, Mbombela and Drakenstein</t>
  </si>
  <si>
    <t>Department of Transport (DoT), Department of Forestry, Fisheries and the Environment (DFFE) and Western Cape Provincial Government (year 1) Tshwane, eThekwini and Nelson Mandela Bay Municipalities (year 2)</t>
  </si>
  <si>
    <t xml:space="preserve">Department of Science and Innovation (DSI); Department of Higher Education and Training (DHET), Energy and Water SETA (EW SETA) </t>
  </si>
  <si>
    <t>IOPSA,Blu Lever, NBI</t>
  </si>
  <si>
    <t xml:space="preserve">Energy Sector Decarbonisation Pathways </t>
  </si>
  <si>
    <t xml:space="preserve">Department of Science and Innovation (DSI),
South African National Energy Development Institute (SANEDI)
</t>
  </si>
  <si>
    <t>UCT</t>
  </si>
  <si>
    <t>South African Local Government Association (SALGA)</t>
  </si>
  <si>
    <t xml:space="preserve">Municipalities </t>
  </si>
  <si>
    <t>Presidential Climate Commission (PCC); South African Local Government Association (SALGA)</t>
  </si>
  <si>
    <t>Industrial Development Corporation (IDC)</t>
  </si>
  <si>
    <t xml:space="preserve"> Department of Mineral Resources and Energy (DMRE),National Treasury, Department of Transport (National and Provincial Government), Department of Trade Industry and Competition </t>
  </si>
  <si>
    <t>South African Medical Research Council</t>
  </si>
  <si>
    <t xml:space="preserve">South African Medical Research Council </t>
  </si>
  <si>
    <t xml:space="preserve">SME's in Mpumalanga </t>
  </si>
  <si>
    <t>Agribusiness in Mpumalanga</t>
  </si>
  <si>
    <t xml:space="preserve">Infrastructure project preparation and local economic development capacity building </t>
  </si>
  <si>
    <t>PWC; Adam Smith International;  Pegasys Consortium</t>
  </si>
  <si>
    <t>Financial Intermediaries, Green building developers, policy-makers.</t>
  </si>
  <si>
    <t>Commercial and industrial developers, for the benefit of Small and medium enterprises (SMEs)</t>
  </si>
  <si>
    <t xml:space="preserve">Energy Council </t>
  </si>
  <si>
    <t xml:space="preserve">Investment Project Preparation </t>
  </si>
  <si>
    <t>Intially PWC, then Adam Smith International and Pegasys Consortium</t>
  </si>
  <si>
    <t xml:space="preserve">South African Municipalities with a focus on municipalities in Mpumalanga 
</t>
  </si>
  <si>
    <t>Public Affairs Research Institute (PARI); ALIGN</t>
  </si>
  <si>
    <t xml:space="preserve">Mobilise and stimulate private investment for SMEs in Mpumalanga to support economic diversification priorities in the Just Energy Transition Partnership (JETP). Intervention via early-stage pipeline development support to SME investors and pre-/post-investment technical assistance to investees. </t>
  </si>
  <si>
    <r>
      <rPr>
        <u/>
        <sz val="11"/>
        <color rgb="FF0070C0"/>
        <rFont val="Calibri (Body)"/>
      </rPr>
      <t>City of Cape Town Grid Regulation Skill-share (UK PACT)</t>
    </r>
    <r>
      <rPr>
        <sz val="11"/>
        <color rgb="FF0070C0"/>
        <rFont val="Calibri (Body)"/>
      </rPr>
      <t>:</t>
    </r>
    <r>
      <rPr>
        <sz val="11"/>
        <color rgb="FF0070C0"/>
        <rFont val="Calibri"/>
        <family val="2"/>
        <scheme val="minor"/>
      </rPr>
      <t xml:space="preserve"> Skill-share TA to support the City of Cape Town with the integration of small scale embedded generation onto their grids including support for design standard of networks, embedded generation impact studies, and assistance on financing mechanisms and funding models.</t>
    </r>
  </si>
  <si>
    <r>
      <rPr>
        <u/>
        <sz val="11"/>
        <color rgb="FF0070C0"/>
        <rFont val="Calibri (Body)"/>
      </rPr>
      <t>Energy One Stop Shop Skill-share (UK PACT):</t>
    </r>
    <r>
      <rPr>
        <sz val="11"/>
        <color rgb="FF0070C0"/>
        <rFont val="Calibri"/>
        <family val="2"/>
        <scheme val="minor"/>
      </rPr>
      <t xml:space="preserve"> This skill-share supported the development of an efficient streamlined system through process mapping of regulation approval requirements for new energy generation projects. This will accelerate the approval/certification process of more renewable energy projects adding capacity to the grid. The focus was on municipal approval processes. </t>
    </r>
  </si>
  <si>
    <r>
      <rPr>
        <u/>
        <sz val="11"/>
        <color rgb="FF0070C0"/>
        <rFont val="Calibri (Body)"/>
      </rPr>
      <t>Just Transition Pathways Project (UK PACT)</t>
    </r>
    <r>
      <rPr>
        <sz val="11"/>
        <color rgb="FF0070C0"/>
        <rFont val="Calibri"/>
        <family val="2"/>
        <scheme val="minor"/>
      </rPr>
      <t>: The project identified pathways for the private sector to contribute to both an accelerated low carbon transition and just transition.  It provided detailed key sectoral modelling and analysis of the technical and socio-economic benefits of rapid low carbon expansion and the impact on macroeconomic factors such as economic growth, employment etc.</t>
    </r>
  </si>
  <si>
    <r>
      <rPr>
        <u/>
        <sz val="11"/>
        <color rgb="FF0070C0"/>
        <rFont val="Calibri (Body)"/>
      </rPr>
      <t>Northern Cape Sustainable Energy Sector Support (Northern Cape SESS) (UK PACT)</t>
    </r>
    <r>
      <rPr>
        <u/>
        <sz val="11"/>
        <color rgb="FF0070C0"/>
        <rFont val="Calibri"/>
        <family val="2"/>
        <scheme val="minor"/>
      </rPr>
      <t xml:space="preserve">: </t>
    </r>
    <r>
      <rPr>
        <sz val="11"/>
        <color rgb="FF0070C0"/>
        <rFont val="Calibri"/>
        <family val="2"/>
        <scheme val="minor"/>
      </rPr>
      <t xml:space="preserve">The Sustainable Energy Sector Support (SESS) project built a foundation for a sustainable energy transition within the Northern Cape and more broadly the green economy sector, for Small, Medium and Micro Enterprises to thrive. The SESS project worked with the Northern Cape Provincial Government to create an enabling environment for the creation of a small-scale sustainable energy industry via enhanced stakeholder networks, co-development and deployment of relevant knowledge products and training for the local sustainable energy sector to develop. </t>
    </r>
  </si>
  <si>
    <r>
      <rPr>
        <u/>
        <sz val="11"/>
        <color rgb="FF0070C0"/>
        <rFont val="Calibri (Body)"/>
      </rPr>
      <t>City of Johannesburg Climate Action Plan Implementation Tracking (UK PACT</t>
    </r>
    <r>
      <rPr>
        <sz val="11"/>
        <color rgb="FF0070C0"/>
        <rFont val="Calibri"/>
        <family val="2"/>
        <scheme val="minor"/>
      </rPr>
      <t>): This project is supporting the City of Johannesburg to establish the necessary data tools to bring civil society, business and other organisations into the process of monitoring the implementation of the City’s Climate Action Plan (CAP). The project will also explore new tools to reduce emissions through embedded generation support, net-zero building and land mapping for climate adaptation.</t>
    </r>
  </si>
  <si>
    <r>
      <rPr>
        <u/>
        <sz val="11"/>
        <color rgb="FF0070C0"/>
        <rFont val="Calibri (Body)"/>
      </rPr>
      <t>Supporting the Effective Integration of Resilience Building, Alternative Service Delivery Approaches and Climate Change Adaptation and Mitigation into the Implementation of the City of Cape Town’s Infrastructure Planning and Delivery Framework (IPDF) (UK PACT):</t>
    </r>
    <r>
      <rPr>
        <sz val="11"/>
        <color rgb="FF0070C0"/>
        <rFont val="Calibri"/>
        <family val="2"/>
        <scheme val="minor"/>
      </rPr>
      <t xml:space="preserve"> This project assisted with the evaluation of the City’s Infrastructure portfolio in order to understand the opportunities for City infrastructure planning and investment to respond to the environmental, social and economic risks associated with climate change. </t>
    </r>
  </si>
  <si>
    <r>
      <rPr>
        <u/>
        <sz val="11"/>
        <color rgb="FF0070C0"/>
        <rFont val="Calibri (Body)"/>
      </rPr>
      <t>Shifting the Transport Paradigm – Electric Vehicles (UK PACT)</t>
    </r>
    <r>
      <rPr>
        <sz val="11"/>
        <color rgb="FF0070C0"/>
        <rFont val="Calibri"/>
        <family val="2"/>
        <scheme val="minor"/>
      </rPr>
      <t>: The project built capacity, knowledge and information sharing at a national and local government level to promote electric vehicles (EVs) in line with the Department of Transport’s (DoT) Green Transport Strategy and promoted the uptake of and the development of the EV industry in South Africa.</t>
    </r>
  </si>
  <si>
    <r>
      <rPr>
        <u/>
        <sz val="11"/>
        <color rgb="FF0070C0"/>
        <rFont val="Calibri (Body)"/>
      </rPr>
      <t>Electric Vehicle Readiness in City of Johannesburg (UK PACT)</t>
    </r>
    <r>
      <rPr>
        <sz val="11"/>
        <color rgb="FF0070C0"/>
        <rFont val="Calibri"/>
        <family val="2"/>
        <scheme val="minor"/>
      </rPr>
      <t>: The project built the capacity of City of Johannesburg officials to make them EV ready, by building a deep understanding of the technical abilities of the city to plan for an EV future in terms of the provision of infrastructure and the setting of fair, yet attractive tariffs.</t>
    </r>
  </si>
  <si>
    <r>
      <rPr>
        <u/>
        <sz val="11"/>
        <color rgb="FF0070C0"/>
        <rFont val="Calibri (Body)"/>
      </rPr>
      <t>Building the Green Hydrogen Economy Just Energy Transition (UK PACT)</t>
    </r>
    <r>
      <rPr>
        <sz val="11"/>
        <color rgb="FF0070C0"/>
        <rFont val="Calibri"/>
        <family val="2"/>
        <scheme val="minor"/>
      </rPr>
      <t xml:space="preserve">: Co-creating a Just Labour Transition through the Technical and Vocational Education and Training (TVET) College System in South Africa. The project fed into a specific component of the Hydrogen Society Roadmap which involves assessing the skills needed for transitioning to a green hydrogen economy in South Africa, with a particular focus on how to position the TVET college system to supply high-quality skills to meet the future GHE requirements. </t>
    </r>
  </si>
  <si>
    <r>
      <rPr>
        <u/>
        <sz val="11"/>
        <color rgb="FF0070C0"/>
        <rFont val="Calibri (Body)"/>
      </rPr>
      <t>UK PACT Secondment - Part 1 (2021/2022) - The job holder was seconded to the Secretariat of the Presidential Climate Commission (PCC)</t>
    </r>
    <r>
      <rPr>
        <sz val="11"/>
        <color rgb="FF0070C0"/>
        <rFont val="Calibri"/>
        <family val="2"/>
        <scheme val="minor"/>
      </rPr>
      <t>: The secondee faciliated peer-to-peer exchange with the UK’s Climate Change Committee and supported the the convening of stakeholder meetings in the lead up to the development of the Commission's Just Transition Framework.</t>
    </r>
  </si>
  <si>
    <r>
      <rPr>
        <u/>
        <sz val="11"/>
        <color rgb="FF0070C0"/>
        <rFont val="Calibri (Body)"/>
      </rPr>
      <t>Energy Secretariat Skill-share (UK PACT)</t>
    </r>
    <r>
      <rPr>
        <sz val="11"/>
        <color rgb="FF0070C0"/>
        <rFont val="Calibri"/>
        <family val="2"/>
        <scheme val="minor"/>
      </rPr>
      <t>:The skill-share provided Monitoring, Evaluation and Learning (MEL) support to DSI and SANEDI to develop a Theory of Change and a MEL framework for the Energy Secretariat at an organisation-level and for the draft Energy, Science, Technology and Innovation Plan (ESTIP).</t>
    </r>
  </si>
  <si>
    <r>
      <rPr>
        <u/>
        <sz val="11"/>
        <color rgb="FF0070C0"/>
        <rFont val="Calibri (Body)"/>
      </rPr>
      <t>Operationalising Energy Performance Certificates (UK PACT)</t>
    </r>
    <r>
      <rPr>
        <sz val="11"/>
        <color rgb="FF0070C0"/>
        <rFont val="Calibri"/>
        <family val="2"/>
        <scheme val="minor"/>
      </rPr>
      <t xml:space="preserve">: The project supported the South African National Energy and Development Institute (SANEDI) in its role in facilitating the operationalisation of EPC data and the implementation of the Mandatory EPC for Buildings Regulation. </t>
    </r>
  </si>
  <si>
    <r>
      <rPr>
        <u/>
        <sz val="11"/>
        <color rgb="FF0070C0"/>
        <rFont val="Calibri (Body)"/>
      </rPr>
      <t>Enabling municipal energy generation and procurement (UK PACT)</t>
    </r>
    <r>
      <rPr>
        <sz val="11"/>
        <color rgb="FF0070C0"/>
        <rFont val="Calibri (Body)"/>
      </rPr>
      <t>:</t>
    </r>
    <r>
      <rPr>
        <sz val="11"/>
        <color rgb="FF0070C0"/>
        <rFont val="Calibri"/>
        <family val="2"/>
        <scheme val="minor"/>
      </rPr>
      <t xml:space="preserve"> The project aims to equip municipalities with reference guides, procurement materials and a comprehensive training programme to enable them to implement  their own independent power producer procurement programme.</t>
    </r>
  </si>
  <si>
    <r>
      <rPr>
        <u/>
        <sz val="11"/>
        <color rgb="FF0070C0"/>
        <rFont val="Calibri (Body)"/>
      </rPr>
      <t>Policy research and support for energy pricing reform and municipal energy procurement (UK PACT)</t>
    </r>
    <r>
      <rPr>
        <sz val="11"/>
        <color rgb="FF0070C0"/>
        <rFont val="Calibri"/>
        <family val="2"/>
        <scheme val="minor"/>
      </rPr>
      <t>:  Support the Presidential Climate Commission (PCC) with policy research and support for energy pricing reform and municipal energy procurement; support SALGA with a study of and legal support regarding alternative ownership models</t>
    </r>
  </si>
  <si>
    <r>
      <rPr>
        <u/>
        <sz val="11"/>
        <color rgb="FF0070C0"/>
        <rFont val="Calibri (Body)"/>
      </rPr>
      <t>Eastern Cape Green Hydrogen Production and Export Infrastructure Feasibility Study (UK PACT)</t>
    </r>
    <r>
      <rPr>
        <sz val="11"/>
        <color rgb="FF0070C0"/>
        <rFont val="Calibri"/>
        <family val="2"/>
        <scheme val="minor"/>
      </rPr>
      <t xml:space="preserve">: This feasibility study centres on the creation of infrastructure for the production and export of green hydrogen from South Africa's Eastern Cape region to the United Kingdom and other markets. </t>
    </r>
  </si>
  <si>
    <r>
      <rPr>
        <u/>
        <sz val="11"/>
        <color rgb="FF0070C0"/>
        <rFont val="Calibri (Body)"/>
      </rPr>
      <t>Energy Secretariat Part 2 (UK PACT)</t>
    </r>
    <r>
      <rPr>
        <sz val="11"/>
        <color rgb="FF0070C0"/>
        <rFont val="Calibri"/>
        <family val="2"/>
        <scheme val="minor"/>
      </rPr>
      <t>: Supporting the set up and design of the Energy Secretariat (embedded in SANEDI). This skill-share will provide organisational design and MEL support to the counterpart organisations in relation to the roles and responsibilities of the Secretariat. It should be noted that the Secretariat, as an institution, has not yet been established and resourced, hence a significant portion of this skills share support will focus on providing organisational design support.</t>
    </r>
  </si>
  <si>
    <r>
      <rPr>
        <u/>
        <sz val="11"/>
        <color rgb="FF0070C0"/>
        <rFont val="Calibri (Body)"/>
      </rPr>
      <t>Agribusiness investment falls under the UK commitment to JETP (economic diversification/’just’ agenda)</t>
    </r>
    <r>
      <rPr>
        <sz val="11"/>
        <color rgb="FF0070C0"/>
        <rFont val="Calibri"/>
        <family val="2"/>
        <scheme val="minor"/>
      </rPr>
      <t xml:space="preserve">: Agribusiness investors require pipeline sourcing/generation support to go beyond the large-scale investments currently visible to them, to find new climate-friendly agriculture opportunities, AND/OR to work with their existing investees to drive greater inclusion in their supply chains. To further ‘just’ agribusiness investment, this project will (a) identify which among its existing investment partners, or new ones within the JETP network, have either existing agri investments in SA or plans to expand investment and (b) provide technical assistance either to potential investee companies (to get them closer to bankability) or existing investee companies (to better drive job creation and small farmer inclusion).  Providing Pre-investment technical assistance (TA) to 8 high potential farms,connecting them to agri-lenders and impact investors. Programme will also provide TA to 2 specialist agri-lenders to high margin fruit and nuts sector </t>
    </r>
  </si>
  <si>
    <r>
      <rPr>
        <u/>
        <sz val="11"/>
        <color rgb="FF0070C0"/>
        <rFont val="Calibri (Body)"/>
      </rPr>
      <t>UK PACT Secondment- Year 2 (2023/2024)</t>
    </r>
    <r>
      <rPr>
        <sz val="11"/>
        <color rgb="FF0070C0"/>
        <rFont val="Calibri"/>
        <family val="2"/>
        <scheme val="minor"/>
      </rPr>
      <t>: The job holder was seconded to the Secretariat of the Presidential Climate Commission (PCC). The secondee facilitated peer-to-peer exchange with the UK’s Climate Change Committee and supported the the convening of stakeholder meetings in the lead up to the development of the Commission's Just Transition Framework.</t>
    </r>
  </si>
  <si>
    <t xml:space="preserve">Public financial management </t>
  </si>
  <si>
    <t>SW010</t>
  </si>
  <si>
    <t>SW011</t>
  </si>
  <si>
    <t>UK053</t>
  </si>
  <si>
    <t xml:space="preserve">NEPAD Business Foundation, Siemnans, Letsema Consulting </t>
  </si>
  <si>
    <t>DHET</t>
  </si>
  <si>
    <t xml:space="preserve">6 South African Public Universities- University of Mpumalanga, Mangosuthu University of Technology, Sefako Makgatho Health Sciences University, Tshwane University of Technology, University of Fort Hare, University of Venda </t>
  </si>
  <si>
    <t>This project seeks to develop investable, implementable climate action plans, bolstered by business cases and the identification of appropriate funding mechanisms (including existing funding sources and new funding models), in collaboration with 6 of the 26 public universities. The project relies on the use of industry-proven modelling and simulation tools (tailored for the South African context), allowing data from energy audits to inform a strategic energy transition and decarbonisation roadmap.
The project will be executed using a unique “smart campus scoping” process, which has been used for universities around the world. The project seeks to replicate this process in a manner that is tailored to the South African environment and circumstances. The “smart campus scoping” approach has enabled universities to establish a clear roadmap towards achieving their climate change objectives, including tangible outputs such as onsite renewable energy generation projects.</t>
  </si>
  <si>
    <t>Beneficiary municipalities</t>
  </si>
  <si>
    <t xml:space="preserve">National Treasury, KZN DEDTEA </t>
  </si>
  <si>
    <t>iLembe District municipalities</t>
  </si>
  <si>
    <t xml:space="preserve">National Treasury </t>
  </si>
  <si>
    <t>Provincial Treasuries, municipalities in Free State &amp; Mpumalanga</t>
  </si>
  <si>
    <t xml:space="preserve">Department of Higher Education &amp; Training </t>
  </si>
  <si>
    <t>TVET colleges</t>
  </si>
  <si>
    <t xml:space="preserve">Department of Electricity &amp; Energy </t>
  </si>
  <si>
    <t xml:space="preserve">Participating municipalities </t>
  </si>
  <si>
    <t>Metropolitan municipalities</t>
  </si>
  <si>
    <t xml:space="preserve">Department of Trade, Industry &amp; Competition </t>
  </si>
  <si>
    <t>Selected industrial parks</t>
  </si>
  <si>
    <t>InvestSA</t>
  </si>
  <si>
    <t xml:space="preserve">National Treasury, Provincial Treasuries </t>
  </si>
  <si>
    <t xml:space="preserve">Department of Water and Sanitation </t>
  </si>
  <si>
    <t xml:space="preserve">Water &amp; Sanitation </t>
  </si>
  <si>
    <t xml:space="preserve">DBSA Water Partnership Office </t>
  </si>
  <si>
    <r>
      <rPr>
        <b/>
        <u/>
        <sz val="11"/>
        <color rgb="FF0070C0"/>
        <rFont val="Calibri (Body)"/>
      </rPr>
      <t>Footnote 1 (Total US$):</t>
    </r>
    <r>
      <rPr>
        <sz val="11"/>
        <color rgb="FF0070C0"/>
        <rFont val="Calibri"/>
        <family val="2"/>
        <scheme val="minor"/>
      </rPr>
      <t xml:space="preserve"> US$ to ZAR is 17,61 (Exchange Rate). The average exchange rate from October 2022 to September 2024 using Oanda has been applied. Grants (with some exceptions) are managed in home currencies – the exchange rate applied is from the home currency to US$, using an average rate from October 2022 to June 2024. This exchange rate will be regularly updated (Quarterly) to account for fluctuations from GBP/Euro/CHF/CAD to USD. </t>
    </r>
  </si>
  <si>
    <t>US039</t>
  </si>
  <si>
    <t>National Business Initiative</t>
  </si>
  <si>
    <t>Varied - public and private sector stakeholders in energy sector, including but not limited to national and subnational entities/organizations, Eskom, NTCSA, IPPs/traders/aggregators, and more.</t>
  </si>
  <si>
    <t>Grant award from Power Africa to support the NBI lead "JET Skills for Employment Program (JET-SEP)"</t>
  </si>
  <si>
    <t>FR012</t>
  </si>
  <si>
    <t>FR015</t>
  </si>
  <si>
    <t>Social protection</t>
  </si>
  <si>
    <t>UCT-DPRU; Presidency, with support from the NT</t>
  </si>
  <si>
    <r>
      <rPr>
        <u/>
        <sz val="11"/>
        <color rgb="FF0070C0"/>
        <rFont val="Calibri (Body)"/>
      </rPr>
      <t>Social Protection and the Just Transition in South Africa -Examining the Financial Requirements of the Just Transition</t>
    </r>
    <r>
      <rPr>
        <sz val="11"/>
        <color rgb="FF0070C0"/>
        <rFont val="Calibri"/>
        <family val="2"/>
        <scheme val="minor"/>
      </rPr>
      <t>: This project aims to make two primary high-level contributions:
i. First, it will count and profile existing workers in coal and related industries using reliable, spatially sensitive microdata. This includes an analysis of employment, wages, and wage inequality;
ii. Second, it will propose a basket of social protection policies tailored to the identified worker profiles, with attendant modelled cost estimates, and potential financing options. This includes a focus on the wage inequality implications of various policy scenarios that highlight the importance of a just transition in South Africa.</t>
    </r>
  </si>
  <si>
    <t>FR017</t>
  </si>
  <si>
    <t>FR018</t>
  </si>
  <si>
    <t>FR019</t>
  </si>
  <si>
    <t>FR020</t>
  </si>
  <si>
    <t>FR021</t>
  </si>
  <si>
    <t>FR022</t>
  </si>
  <si>
    <t>Skills and economic diversification</t>
  </si>
  <si>
    <t>Mini-grids</t>
  </si>
  <si>
    <t>Technical assistance for NT/ALM</t>
  </si>
  <si>
    <t>JT-Funding Platform</t>
  </si>
  <si>
    <t>Gender mainstreaming</t>
  </si>
  <si>
    <t>Wits-REAL; Presidency</t>
  </si>
  <si>
    <t>HSRC, UCT-SALDRU, PCC</t>
  </si>
  <si>
    <t xml:space="preserve">Reshma Sheoraj / Jeanine BEDNAR-GIYOSE </t>
  </si>
  <si>
    <t>National Treasury / Asset and Liabilities Management unit</t>
  </si>
  <si>
    <t>National Treasury</t>
  </si>
  <si>
    <t>Candidate to be selected soon</t>
  </si>
  <si>
    <t>JET-PMU</t>
  </si>
  <si>
    <t>to be recruited</t>
  </si>
  <si>
    <t>Premier's office of Mpumalanga province</t>
  </si>
  <si>
    <r>
      <rPr>
        <u/>
        <sz val="11"/>
        <color rgb="FF0070C0"/>
        <rFont val="Calibri (Body)"/>
      </rPr>
      <t>Skills ecosystem mapping in the Nkangala district</t>
    </r>
    <r>
      <rPr>
        <sz val="11"/>
        <color rgb="FF0070C0"/>
        <rFont val="Calibri"/>
        <family val="2"/>
        <scheme val="minor"/>
      </rPr>
      <t xml:space="preserve">: This project aims to make two primary high-level contributions:
This research project will conduct a detailed analysis of the skills ecosystem that could feed into the various initiatives to support local authorities and communities in the Nkangala district, which concentrates the coal-fired power plants that will be closed as a result of just transition policies. Phase 1 of the project revealed that an IRM skills ecosystem mapping project is crucial for addressing inequality by thoroughly analysing the socioeconomic and demographic profiles of diverse townships in South Africa. By identifying specific skill gaps and understanding the challenges faced by Small, Medium, and Micro Enterprises (SMMEs) in these areas, the study can inform targeted interventions aimed at reducing inequality in access to employment and economic opportunities. Furthermore, by examining the role of Technical and Vocational Education and Training (TVET) institutions and conducting a comprehensive literature review, the study ensures that proposed interventions are evidence-based and tailored to the needs of the communities studied. </t>
    </r>
  </si>
  <si>
    <r>
      <rPr>
        <u/>
        <sz val="11"/>
        <color rgb="FF0070C0"/>
        <rFont val="Calibri (Body)"/>
      </rPr>
      <t>The impact of the green transition on jobs in South Africa</t>
    </r>
    <r>
      <rPr>
        <sz val="11"/>
        <color rgb="FF0070C0"/>
        <rFont val="Calibri"/>
        <family val="2"/>
        <scheme val="minor"/>
      </rPr>
      <t>:The project will provide an in-depth analysis of the impact of the green transition on jobs, using both a bottom-up approach (occupation-based quantification of green jobs) and a top-down approach (jobs’ vulnerability based on sectoral emissions). It will then use the Spatial Tax Panel to map the jobs at the municipal level.</t>
    </r>
  </si>
  <si>
    <r>
      <rPr>
        <u/>
        <sz val="11"/>
        <color rgb="FF0070C0"/>
        <rFont val="Calibri (Body)"/>
      </rPr>
      <t xml:space="preserve">Eskom Mini-grids: </t>
    </r>
    <r>
      <rPr>
        <sz val="11"/>
        <color rgb="FF0070C0"/>
        <rFont val="Calibri (Body)"/>
      </rPr>
      <t>Development of feasibility studies and implementation plan of the Eskom Mini-grids Programme</t>
    </r>
  </si>
  <si>
    <t>Technical assistant to support the coordination of the public policy dialogue and the following up on the objectives related to the indicators of the Just PBL.</t>
  </si>
  <si>
    <t>Analyst to support the operationalization of the JET-FP (coordination, registering grant funders onto the JET-FP, M&amp;E…)</t>
  </si>
  <si>
    <r>
      <rPr>
        <u/>
        <sz val="11"/>
        <color rgb="FF0070C0"/>
        <rFont val="Calibri (Body)"/>
      </rPr>
      <t>JET jobs first project: gender and social inclusion in the Mpumalanga province</t>
    </r>
    <r>
      <rPr>
        <sz val="11"/>
        <color rgb="FF0070C0"/>
        <rFont val="Calibri"/>
        <family val="2"/>
        <scheme val="minor"/>
      </rPr>
      <t xml:space="preserve">:supporting mgca (green cluster agency) in mainstreaming gender in the project with afdb </t>
    </r>
  </si>
  <si>
    <t>FR024</t>
  </si>
  <si>
    <t xml:space="preserve">Implementation of the Just Transitions Framework </t>
  </si>
  <si>
    <t>Decision-makers, municipal officials, technical professionals, women in the energy space</t>
  </si>
  <si>
    <t>Youth, SMMEs and public TVET Colleges, Workers affected by the transition</t>
  </si>
  <si>
    <t>DK011</t>
  </si>
  <si>
    <t>Food and Agriculture partnership</t>
  </si>
  <si>
    <t>Department of Agriculture, Department of National Health, DALRRD, Danish Veterinary and Food Administration</t>
  </si>
  <si>
    <t>DK013</t>
  </si>
  <si>
    <t>City of Johannesburg, City of Copenhagen</t>
  </si>
  <si>
    <t>City of Johannesburg</t>
  </si>
  <si>
    <t>Tenants of public buildings in Johannesburg</t>
  </si>
  <si>
    <t>JUST SA Consortium (including Green Cape, NBI, TIPS, Yes4Youth)</t>
  </si>
  <si>
    <t>NBI, Lulalab, Yes4Youth, IEPA, Resolution Circle, Wits Real, Techniserve, ILO</t>
  </si>
  <si>
    <t>University of Cape Town; Nelson Mandela University; Council for Scientific &amp; Industrial Research (CSIR); Hydrogen Energy Applications (Pty) Ltd (HYENA)
Associated partners: 
Sasol Ltd; SHV Energy N.V.</t>
  </si>
  <si>
    <t>Sovereign bilateral partners</t>
  </si>
  <si>
    <t>US$ millions</t>
  </si>
  <si>
    <t>Grants</t>
  </si>
  <si>
    <t>Highly-concessional loans</t>
  </si>
  <si>
    <t>Concessional loans</t>
  </si>
  <si>
    <t>Commercial debt and equity</t>
  </si>
  <si>
    <t>Export Credits</t>
  </si>
  <si>
    <t>Total bilateral contributions</t>
  </si>
  <si>
    <t>-</t>
  </si>
  <si>
    <t>European Union / EIB</t>
  </si>
  <si>
    <t>France / AFD</t>
  </si>
  <si>
    <t>Germany / KfW</t>
  </si>
  <si>
    <t>Switzerland</t>
  </si>
  <si>
    <t>United States of America</t>
  </si>
  <si>
    <t>Sub-total sovereign bilateral partners</t>
  </si>
  <si>
    <t>Multilateral Development Banks</t>
  </si>
  <si>
    <t>African Development Bank</t>
  </si>
  <si>
    <t>CIF: Accelerated Coal Transition</t>
  </si>
  <si>
    <t>Sub-total multilateral</t>
  </si>
  <si>
    <t>Total pledges</t>
  </si>
  <si>
    <t>1USD = ZAR:</t>
  </si>
  <si>
    <r>
      <t>Indalo Inclusive South Africa; Community stakeholders in Dipaleseng District Municipality, Mpumalanga</t>
    </r>
    <r>
      <rPr>
        <sz val="11"/>
        <color rgb="FF0070C0"/>
        <rFont val="Calibri (Body)"/>
      </rPr>
      <t xml:space="preserve"> (First phase).                             
GreenCape, CORC, Peco Power, Community stakeholders in Nomzamo, Ermelo Municipality. (second phase)</t>
    </r>
  </si>
  <si>
    <r>
      <rPr>
        <u/>
        <sz val="11"/>
        <color rgb="FF0070C0"/>
        <rFont val="Calibri (Body)"/>
      </rPr>
      <t>Participatory co-design of equitable energy transition interventions</t>
    </r>
    <r>
      <rPr>
        <sz val="11"/>
        <color rgb="FF0070C0"/>
        <rFont val="Calibri"/>
        <family val="2"/>
        <scheme val="minor"/>
      </rPr>
      <t>: Supporting an inclusive, participatory co-construction process in a community / municipality impacted by the energy transition, to  identify interventions that contribute to a just transition. This process will include local role players (local gov, civil society, unions, private sector) (First Phase)
Establishing an Alternative Service Delivery Unit to Address Energy Injustice and Informal Settlements To boost employment and economic activity by offering alternative energy services in the agricultural village of Nomzamo, within the framework of the just transition in Ermelo, Mpumalanga and to create an inclusive mechanism for alternative sanitation services, ensuring the full realization of basic human rights for communities disadvantaged by the energy transition. (second phase)</t>
    </r>
  </si>
  <si>
    <r>
      <rPr>
        <u/>
        <sz val="11"/>
        <color rgb="FF0070C0"/>
        <rFont val="Calibri (Body)"/>
      </rPr>
      <t>Capacity building with ESKOM and relevant government minsteries and agencies</t>
    </r>
    <r>
      <rPr>
        <sz val="11"/>
        <color rgb="FF0070C0"/>
        <rFont val="Calibri"/>
        <family val="2"/>
        <scheme val="minor"/>
      </rPr>
      <t>: The Danish Embassy has in collaboration with Danish Energy Agency hosted a program which aims to continually improve the capacity within ESKOM and government ministeries for improving the transmission of electricity in the South African electricity grid, by drawing on the DEA's experience from a Danish context.</t>
    </r>
  </si>
  <si>
    <r>
      <rPr>
        <u/>
        <sz val="11"/>
        <color rgb="FF0070C0"/>
        <rFont val="Calibri (Body)"/>
      </rPr>
      <t>Capacity building with ESKOM and relevant government minsteries and agencies</t>
    </r>
    <r>
      <rPr>
        <sz val="11"/>
        <color rgb="FF0070C0"/>
        <rFont val="Calibri"/>
        <family val="2"/>
        <scheme val="minor"/>
      </rPr>
      <t xml:space="preserve">: Like for transmission, The Danish Embassy has in collaboration with Danish Energy Agency hosted a program which aims to continually improve the capacity within ESKOM and government ministeries for improving the distribution of electricity in the South African electricity grid, by drawing on the DEA's experience from a Danish context. </t>
    </r>
  </si>
  <si>
    <r>
      <rPr>
        <u/>
        <sz val="11"/>
        <color rgb="FF0070C0"/>
        <rFont val="Calibri (Body)"/>
      </rPr>
      <t>Skills Development in Mpumalanga to ensure a just energy transition:</t>
    </r>
    <r>
      <rPr>
        <sz val="11"/>
        <color rgb="FF0070C0"/>
        <rFont val="Calibri (Body)"/>
      </rPr>
      <t xml:space="preserve"> The project focuses on equipping youth in the Mpumalanga region with entrepreneurial and green energy-related skills. The aim is that participants can create their own job possibilites related to energy transition.</t>
    </r>
  </si>
  <si>
    <r>
      <rPr>
        <u/>
        <sz val="11"/>
        <color rgb="FF0070C0"/>
        <rFont val="Calibri (Body)"/>
      </rPr>
      <t>Positioning wind energy as a contributor to global decarbonisation strategies: A collaboration with SAWEA where key outcomes are p</t>
    </r>
    <r>
      <rPr>
        <sz val="11"/>
        <color rgb="FF0070C0"/>
        <rFont val="Calibri (Body)"/>
      </rPr>
      <t>aper presentations at the annual WindAc Africa Conference; visiting schools in Mpumalanga and reaching 1500-2000 learners during the EnergyDrive in the province; networking events where operational best practice and innovation are showcased and discussed; learners participating in the Wind Industry Internship Programme; commissioning research study on a relevant topic.</t>
    </r>
  </si>
  <si>
    <r>
      <rPr>
        <u/>
        <sz val="11"/>
        <color rgb="FF0070C0"/>
        <rFont val="Calibri (Body)"/>
      </rPr>
      <t>INCA Capacity Building Fund</t>
    </r>
    <r>
      <rPr>
        <sz val="11"/>
        <color rgb="FF0070C0"/>
        <rFont val="Calibri"/>
        <family val="2"/>
        <scheme val="minor"/>
      </rPr>
      <t>: Support to development and training on long term financial strategies &amp; modelling, INCA Summer School and Master Classes.  Access to debt funding through the INCA Municipal Debt Fund</t>
    </r>
  </si>
  <si>
    <r>
      <t xml:space="preserve">South African German Energy Programme 4 - </t>
    </r>
    <r>
      <rPr>
        <sz val="11"/>
        <color rgb="FF0070C0"/>
        <rFont val="Calibri"/>
        <family val="2"/>
        <scheme val="minor"/>
      </rPr>
      <t>support to selected municipalities in the development of energy management systems and retrofitting of street lighting with energy efficient technology.</t>
    </r>
  </si>
  <si>
    <r>
      <rPr>
        <u/>
        <sz val="11"/>
        <color rgb="FF0070C0"/>
        <rFont val="Calibri (Body)"/>
      </rPr>
      <t>Resource efficiency in industrial parks</t>
    </r>
    <r>
      <rPr>
        <sz val="11"/>
        <color rgb="FF0070C0"/>
        <rFont val="Calibri"/>
        <family val="2"/>
        <scheme val="minor"/>
      </rPr>
      <t>: Support for resource efficiency in selected industrial parks with potential spin-off projects in renewal energy and energy storage. The programme entered Phase II in 2024.</t>
    </r>
  </si>
  <si>
    <r>
      <rPr>
        <u/>
        <sz val="12"/>
        <color rgb="FF0070C0"/>
        <rFont val="Calibri"/>
        <family val="2"/>
        <scheme val="minor"/>
      </rPr>
      <t>PINK Phase II (Procurement, Infrastructure Development &amp; Knowledge Management)</t>
    </r>
    <r>
      <rPr>
        <sz val="11"/>
        <color rgb="FF0070C0"/>
        <rFont val="Calibri"/>
        <family val="2"/>
        <scheme val="minor"/>
      </rPr>
      <t>: Technical assistance to selected municipalities on procurement and SCM, infrastructure planning (with the implementation of the Infrastructure Delivery Management System (IDMS) &amp; knowledge management (e.g. communities of practice)</t>
    </r>
  </si>
  <si>
    <r>
      <rPr>
        <u/>
        <sz val="12"/>
        <color rgb="FF0070C0"/>
        <rFont val="Calibri"/>
        <family val="2"/>
        <scheme val="minor"/>
      </rPr>
      <t>Water Partnership SA</t>
    </r>
    <r>
      <rPr>
        <sz val="11"/>
        <color rgb="FF0070C0"/>
        <rFont val="Calibri"/>
        <family val="2"/>
        <scheme val="minor"/>
      </rPr>
      <t xml:space="preserve"> - Support to development of a bankable project pipeline in water and sanitation, with emphasis on water reuse, water water treatment and non-revenue water</t>
    </r>
  </si>
  <si>
    <t>Eskom, Dipaleseng municipality, Mpumalanga Green Cluster Agency, Mpumalanga province</t>
  </si>
  <si>
    <t>Local communities in Dipaleseng municipality, Eskom employees</t>
  </si>
  <si>
    <t>SAIIA Youth</t>
  </si>
  <si>
    <t>Youth across South Africa</t>
  </si>
  <si>
    <t>Department of Water and Sanitation, COGTA, SALGA, MISA, Municipalities</t>
  </si>
  <si>
    <t>Mbombela municipality</t>
  </si>
  <si>
    <t>Wesgro, NCEDA, Presidency, CSIR</t>
  </si>
  <si>
    <t>Youth, local communities, SA private sector, SA knowledge insitutes</t>
  </si>
  <si>
    <t>To be identified</t>
  </si>
  <si>
    <t>Workers in the mineral mining sector (manganese and chromium)</t>
  </si>
  <si>
    <t>Grand Total</t>
  </si>
  <si>
    <t>Sum of Total ZAR</t>
  </si>
  <si>
    <t>Total USD and ZAR by Source (Sovereign Bilateral Partners)</t>
  </si>
  <si>
    <t>(blank)</t>
  </si>
  <si>
    <t>Funding Source</t>
  </si>
  <si>
    <t>Total in USD</t>
  </si>
  <si>
    <t>Total in ZAR</t>
  </si>
  <si>
    <r>
      <t xml:space="preserve">•	</t>
    </r>
    <r>
      <rPr>
        <b/>
        <sz val="11"/>
        <color rgb="FF0070C0"/>
        <rFont val="Calibri"/>
        <family val="2"/>
        <scheme val="minor"/>
      </rPr>
      <t>Germany</t>
    </r>
    <r>
      <rPr>
        <sz val="11"/>
        <color rgb="FF0070C0"/>
        <rFont val="Calibri"/>
        <family val="2"/>
        <scheme val="minor"/>
      </rPr>
      <t xml:space="preserve"> is the largest contributor, providing over </t>
    </r>
    <r>
      <rPr>
        <b/>
        <sz val="11"/>
        <color rgb="FF0070C0"/>
        <rFont val="Calibri"/>
        <family val="2"/>
        <scheme val="minor"/>
      </rPr>
      <t>$285 million (R5 billion)</t>
    </r>
    <r>
      <rPr>
        <sz val="11"/>
        <color rgb="FF0070C0"/>
        <rFont val="Calibri"/>
        <family val="2"/>
        <scheme val="minor"/>
      </rPr>
      <t>.
•	Other significant contributors include:</t>
    </r>
  </si>
  <si>
    <r>
      <t xml:space="preserve">o	</t>
    </r>
    <r>
      <rPr>
        <b/>
        <sz val="11"/>
        <color rgb="FF0070C0"/>
        <rFont val="Calibri"/>
        <family val="2"/>
        <scheme val="minor"/>
      </rPr>
      <t>Netherlands</t>
    </r>
    <r>
      <rPr>
        <sz val="11"/>
        <color rgb="FF0070C0"/>
        <rFont val="Calibri"/>
        <family val="2"/>
        <scheme val="minor"/>
      </rPr>
      <t xml:space="preserve"> with </t>
    </r>
    <r>
      <rPr>
        <b/>
        <sz val="11"/>
        <color rgb="FF0070C0"/>
        <rFont val="Calibri"/>
        <family val="2"/>
        <scheme val="minor"/>
      </rPr>
      <t>$60.8 million (R1 billion)</t>
    </r>
    <r>
      <rPr>
        <sz val="11"/>
        <color rgb="FF0070C0"/>
        <rFont val="Calibri"/>
        <family val="2"/>
        <scheme val="minor"/>
      </rPr>
      <t xml:space="preserve">,
o	</t>
    </r>
    <r>
      <rPr>
        <b/>
        <sz val="11"/>
        <color rgb="FF0070C0"/>
        <rFont val="Calibri"/>
        <family val="2"/>
        <scheme val="minor"/>
      </rPr>
      <t>European Union</t>
    </r>
    <r>
      <rPr>
        <sz val="11"/>
        <color rgb="FF0070C0"/>
        <rFont val="Calibri"/>
        <family val="2"/>
        <scheme val="minor"/>
      </rPr>
      <t xml:space="preserve"> with </t>
    </r>
    <r>
      <rPr>
        <b/>
        <sz val="11"/>
        <color rgb="FF0070C0"/>
        <rFont val="Calibri"/>
        <family val="2"/>
        <scheme val="minor"/>
      </rPr>
      <t>$56.9 million (R1 billion)</t>
    </r>
    <r>
      <rPr>
        <sz val="11"/>
        <color rgb="FF0070C0"/>
        <rFont val="Calibri"/>
        <family val="2"/>
        <scheme val="minor"/>
      </rPr>
      <t xml:space="preserve">,
o	</t>
    </r>
    <r>
      <rPr>
        <b/>
        <sz val="11"/>
        <color rgb="FF0070C0"/>
        <rFont val="Calibri"/>
        <family val="2"/>
        <scheme val="minor"/>
      </rPr>
      <t>United States</t>
    </r>
    <r>
      <rPr>
        <sz val="11"/>
        <color rgb="FF0070C0"/>
        <rFont val="Calibri"/>
        <family val="2"/>
        <scheme val="minor"/>
      </rPr>
      <t xml:space="preserve"> with </t>
    </r>
    <r>
      <rPr>
        <b/>
        <sz val="11"/>
        <color rgb="FF0070C0"/>
        <rFont val="Calibri"/>
        <family val="2"/>
        <scheme val="minor"/>
      </rPr>
      <t>$54.3 million (R957 million)</t>
    </r>
    <r>
      <rPr>
        <sz val="11"/>
        <color rgb="FF0070C0"/>
        <rFont val="Calibri"/>
        <family val="2"/>
        <scheme val="minor"/>
      </rPr>
      <t>.</t>
    </r>
  </si>
  <si>
    <r>
      <t xml:space="preserve">•	Smaller but still substantial contributions come from </t>
    </r>
    <r>
      <rPr>
        <b/>
        <sz val="11"/>
        <color rgb="FF0070C0"/>
        <rFont val="Calibri"/>
        <family val="2"/>
        <scheme val="minor"/>
      </rPr>
      <t>Switzerland, ACT-IP</t>
    </r>
    <r>
      <rPr>
        <sz val="11"/>
        <color rgb="FF0070C0"/>
        <rFont val="Calibri"/>
        <family val="2"/>
        <scheme val="minor"/>
      </rPr>
      <t xml:space="preserve">, and the </t>
    </r>
    <r>
      <rPr>
        <b/>
        <sz val="11"/>
        <color rgb="FF0070C0"/>
        <rFont val="Calibri"/>
        <family val="2"/>
        <scheme val="minor"/>
      </rPr>
      <t>United Kingdom</t>
    </r>
    <r>
      <rPr>
        <sz val="11"/>
        <color rgb="FF0070C0"/>
        <rFont val="Calibri"/>
        <family val="2"/>
        <scheme val="minor"/>
      </rPr>
      <t xml:space="preserve">, with amounts ranging between </t>
    </r>
    <r>
      <rPr>
        <b/>
        <sz val="11"/>
        <color rgb="FF0070C0"/>
        <rFont val="Calibri"/>
        <family val="2"/>
        <scheme val="minor"/>
      </rPr>
      <t>$44 million and $50 million</t>
    </r>
    <r>
      <rPr>
        <sz val="11"/>
        <color rgb="FF0070C0"/>
        <rFont val="Calibri"/>
        <family val="2"/>
        <scheme val="minor"/>
      </rPr>
      <t xml:space="preserve">.
•	</t>
    </r>
    <r>
      <rPr>
        <b/>
        <sz val="11"/>
        <color rgb="FF0070C0"/>
        <rFont val="Calibri"/>
        <family val="2"/>
        <scheme val="minor"/>
      </rPr>
      <t>Denmark, France</t>
    </r>
    <r>
      <rPr>
        <sz val="11"/>
        <color rgb="FF0070C0"/>
        <rFont val="Calibri"/>
        <family val="2"/>
        <scheme val="minor"/>
      </rPr>
      <t xml:space="preserve">, and </t>
    </r>
    <r>
      <rPr>
        <b/>
        <sz val="11"/>
        <color rgb="FF0070C0"/>
        <rFont val="Calibri"/>
        <family val="2"/>
        <scheme val="minor"/>
      </rPr>
      <t>Canada</t>
    </r>
    <r>
      <rPr>
        <sz val="11"/>
        <color rgb="FF0070C0"/>
        <rFont val="Calibri"/>
        <family val="2"/>
        <scheme val="minor"/>
      </rPr>
      <t xml:space="preserve"> also made contributions, although these are comparatively smaller.</t>
    </r>
  </si>
  <si>
    <r>
      <t xml:space="preserve">•	</t>
    </r>
    <r>
      <rPr>
        <b/>
        <sz val="11"/>
        <color rgb="FF0070C0"/>
        <rFont val="Calibri"/>
        <family val="2"/>
        <scheme val="minor"/>
      </rPr>
      <t>Total Outliers</t>
    </r>
    <r>
      <rPr>
        <sz val="11"/>
        <color rgb="FF0070C0"/>
        <rFont val="Calibri"/>
        <family val="2"/>
        <scheme val="minor"/>
      </rPr>
      <t xml:space="preserve">: There are </t>
    </r>
    <r>
      <rPr>
        <b/>
        <sz val="11"/>
        <color rgb="FF0070C0"/>
        <rFont val="Calibri"/>
        <family val="2"/>
        <scheme val="minor"/>
      </rPr>
      <t>4 major outliers</t>
    </r>
    <r>
      <rPr>
        <sz val="11"/>
        <color rgb="FF0070C0"/>
        <rFont val="Calibri"/>
        <family val="2"/>
        <scheme val="minor"/>
      </rPr>
      <t xml:space="preserve"> identified, where exceptionally high funding amounts are disbursed. These peaks represent significant milestones in project financing, often related to large-scale renewable energy or infrastructure projects.
•	</t>
    </r>
    <r>
      <rPr>
        <b/>
        <sz val="11"/>
        <color rgb="FF0070C0"/>
        <rFont val="Calibri"/>
        <family val="2"/>
        <scheme val="minor"/>
      </rPr>
      <t>Pattern of Disbursements</t>
    </r>
    <r>
      <rPr>
        <sz val="11"/>
        <color rgb="FF0070C0"/>
        <rFont val="Calibri"/>
        <family val="2"/>
        <scheme val="minor"/>
      </rPr>
      <t xml:space="preserve">: The disbursements occur periodically, typically on a monthly, quarterly, or annual basis, with most of the outliers occurring toward the end of the calendar year, suggesting that these are tied to fiscal year closures or large project milestones.
•	</t>
    </r>
    <r>
      <rPr>
        <b/>
        <sz val="11"/>
        <color rgb="FF0070C0"/>
        <rFont val="Calibri"/>
        <family val="2"/>
        <scheme val="minor"/>
      </rPr>
      <t>Largest Disbursements</t>
    </r>
    <r>
      <rPr>
        <sz val="11"/>
        <color rgb="FF0070C0"/>
        <rFont val="Calibri"/>
        <family val="2"/>
        <scheme val="minor"/>
      </rPr>
      <t>: The largest outlier peaks include:</t>
    </r>
  </si>
  <si>
    <r>
      <t xml:space="preserve">o	</t>
    </r>
    <r>
      <rPr>
        <b/>
        <sz val="11"/>
        <color rgb="FF0070C0"/>
        <rFont val="Calibri"/>
        <family val="2"/>
        <scheme val="minor"/>
      </rPr>
      <t>31 December 2024</t>
    </r>
    <r>
      <rPr>
        <sz val="11"/>
        <color rgb="FF0070C0"/>
        <rFont val="Calibri"/>
        <family val="2"/>
        <scheme val="minor"/>
      </rPr>
      <t xml:space="preserve">: With nearly </t>
    </r>
    <r>
      <rPr>
        <b/>
        <sz val="11"/>
        <color rgb="FF0070C0"/>
        <rFont val="Calibri"/>
        <family val="2"/>
        <scheme val="minor"/>
      </rPr>
      <t>R950 million</t>
    </r>
    <r>
      <rPr>
        <sz val="11"/>
        <color rgb="FF0070C0"/>
        <rFont val="Calibri"/>
        <family val="2"/>
        <scheme val="minor"/>
      </rPr>
      <t xml:space="preserve">, this is one of the largest disbursements.
o	</t>
    </r>
    <r>
      <rPr>
        <b/>
        <sz val="11"/>
        <color rgb="FF0070C0"/>
        <rFont val="Calibri"/>
        <family val="2"/>
        <scheme val="minor"/>
      </rPr>
      <t>31 December 2026</t>
    </r>
    <r>
      <rPr>
        <sz val="11"/>
        <color rgb="FF0070C0"/>
        <rFont val="Calibri"/>
        <family val="2"/>
        <scheme val="minor"/>
      </rPr>
      <t xml:space="preserve">: Here, over </t>
    </r>
    <r>
      <rPr>
        <b/>
        <sz val="11"/>
        <color rgb="FF0070C0"/>
        <rFont val="Calibri"/>
        <family val="2"/>
        <scheme val="minor"/>
      </rPr>
      <t>R1.1 billion</t>
    </r>
    <r>
      <rPr>
        <sz val="11"/>
        <color rgb="FF0070C0"/>
        <rFont val="Calibri"/>
        <family val="2"/>
        <scheme val="minor"/>
      </rPr>
      <t xml:space="preserve"> is allocated, for key infrastructure or implementation projects.
o	</t>
    </r>
    <r>
      <rPr>
        <b/>
        <sz val="11"/>
        <color rgb="FF0070C0"/>
        <rFont val="Calibri"/>
        <family val="2"/>
        <scheme val="minor"/>
      </rPr>
      <t>31 December 2027</t>
    </r>
    <r>
      <rPr>
        <sz val="11"/>
        <color rgb="FF0070C0"/>
        <rFont val="Calibri"/>
        <family val="2"/>
        <scheme val="minor"/>
      </rPr>
      <t xml:space="preserve">: A massive allocation of over </t>
    </r>
    <r>
      <rPr>
        <b/>
        <sz val="11"/>
        <color rgb="FF0070C0"/>
        <rFont val="Calibri"/>
        <family val="2"/>
        <scheme val="minor"/>
      </rPr>
      <t>R1.5 billion</t>
    </r>
    <r>
      <rPr>
        <sz val="11"/>
        <color rgb="FF0070C0"/>
        <rFont val="Calibri"/>
        <family val="2"/>
        <scheme val="minor"/>
      </rPr>
      <t xml:space="preserve"> marks a critical point in the funding timeline.
o	</t>
    </r>
    <r>
      <rPr>
        <b/>
        <sz val="11"/>
        <color rgb="FF0070C0"/>
        <rFont val="Calibri"/>
        <family val="2"/>
        <scheme val="minor"/>
      </rPr>
      <t>31 December 2030</t>
    </r>
    <r>
      <rPr>
        <sz val="11"/>
        <color rgb="FF0070C0"/>
        <rFont val="Calibri"/>
        <family val="2"/>
        <scheme val="minor"/>
      </rPr>
      <t xml:space="preserve">: By the end of 2030, a substantial disbursement of over </t>
    </r>
    <r>
      <rPr>
        <b/>
        <sz val="11"/>
        <color rgb="FF0070C0"/>
        <rFont val="Calibri"/>
        <family val="2"/>
        <scheme val="minor"/>
      </rPr>
      <t>R1.36 billion</t>
    </r>
    <r>
      <rPr>
        <sz val="11"/>
        <color rgb="FF0070C0"/>
        <rFont val="Calibri"/>
        <family val="2"/>
        <scheme val="minor"/>
      </rPr>
      <t xml:space="preserve"> is scheduled, indicating continued long-term investment.</t>
    </r>
  </si>
  <si>
    <r>
      <rPr>
        <b/>
        <sz val="11"/>
        <color rgb="FF0070C0"/>
        <rFont val="Calibri"/>
        <family val="2"/>
        <scheme val="minor"/>
      </rPr>
      <t>Impact on Projects</t>
    </r>
    <r>
      <rPr>
        <sz val="11"/>
        <color rgb="FF0070C0"/>
        <rFont val="Calibri"/>
        <family val="2"/>
        <scheme val="minor"/>
      </rPr>
      <t>: These significant disbursements correlate with the initiation or completion of major renewable energy or Just Energy Transition projects, including electricity grid upgrades, renewable energy plant construction, or significant policy implementation phases.</t>
    </r>
  </si>
  <si>
    <r>
      <t xml:space="preserve">1.	</t>
    </r>
    <r>
      <rPr>
        <b/>
        <sz val="11"/>
        <color rgb="FF0070C0"/>
        <rFont val="Calibri"/>
        <family val="2"/>
        <scheme val="minor"/>
      </rPr>
      <t>Germany</t>
    </r>
    <r>
      <rPr>
        <sz val="11"/>
        <color rgb="FF0070C0"/>
        <rFont val="Calibri"/>
        <family val="2"/>
        <scheme val="minor"/>
      </rPr>
      <t xml:space="preserve">: Germany's contributions are focused on large-scale energy transition projects, including improving </t>
    </r>
    <r>
      <rPr>
        <b/>
        <sz val="11"/>
        <color rgb="FF0070C0"/>
        <rFont val="Calibri"/>
        <family val="2"/>
        <scheme val="minor"/>
      </rPr>
      <t>electricity transmission</t>
    </r>
    <r>
      <rPr>
        <sz val="11"/>
        <color rgb="FF0070C0"/>
        <rFont val="Calibri"/>
        <family val="2"/>
        <scheme val="minor"/>
      </rPr>
      <t xml:space="preserve"> systems, supporting </t>
    </r>
    <r>
      <rPr>
        <b/>
        <sz val="11"/>
        <color rgb="FF0070C0"/>
        <rFont val="Calibri"/>
        <family val="2"/>
        <scheme val="minor"/>
      </rPr>
      <t xml:space="preserve">clean energy </t>
    </r>
    <r>
      <rPr>
        <sz val="11"/>
        <color rgb="FF0070C0"/>
        <rFont val="Calibri"/>
        <family val="2"/>
        <scheme val="minor"/>
      </rPr>
      <t xml:space="preserve">manufacturing, and assisting with the </t>
    </r>
    <r>
      <rPr>
        <b/>
        <sz val="11"/>
        <color rgb="FF0070C0"/>
        <rFont val="Calibri"/>
        <family val="2"/>
        <scheme val="minor"/>
      </rPr>
      <t>localization of the clean energy value chain</t>
    </r>
    <r>
      <rPr>
        <sz val="11"/>
        <color rgb="FF0070C0"/>
        <rFont val="Calibri"/>
        <family val="2"/>
        <scheme val="minor"/>
      </rPr>
      <t>. These efforts aim to create jobs and foster industrial development in the clean energy sector.</t>
    </r>
  </si>
  <si>
    <r>
      <t xml:space="preserve">2.	</t>
    </r>
    <r>
      <rPr>
        <b/>
        <sz val="11"/>
        <color rgb="FF0070C0"/>
        <rFont val="Calibri"/>
        <family val="2"/>
        <scheme val="minor"/>
      </rPr>
      <t>Netherlands</t>
    </r>
    <r>
      <rPr>
        <sz val="11"/>
        <color rgb="FF0070C0"/>
        <rFont val="Calibri"/>
        <family val="2"/>
        <scheme val="minor"/>
      </rPr>
      <t xml:space="preserve">: The Dutch are supporting projects similar to Germany’s focus on </t>
    </r>
    <r>
      <rPr>
        <b/>
        <sz val="11"/>
        <color rgb="FF0070C0"/>
        <rFont val="Calibri"/>
        <family val="2"/>
        <scheme val="minor"/>
      </rPr>
      <t>clean energy manufacturing and value chain localization</t>
    </r>
    <r>
      <rPr>
        <sz val="11"/>
        <color rgb="FF0070C0"/>
        <rFont val="Calibri"/>
        <family val="2"/>
        <scheme val="minor"/>
      </rPr>
      <t>, aiming to ensure that South Africa builds domestic capacity to produce and maintain renewable energy systems.</t>
    </r>
  </si>
  <si>
    <r>
      <t xml:space="preserve">o	</t>
    </r>
    <r>
      <rPr>
        <b/>
        <sz val="11"/>
        <color rgb="FF0070C0"/>
        <rFont val="Calibri"/>
        <family val="2"/>
        <scheme val="minor"/>
      </rPr>
      <t>The Presidential Climate Commission (PCC) Energy Masterplan</t>
    </r>
    <r>
      <rPr>
        <sz val="11"/>
        <color rgb="FF0070C0"/>
        <rFont val="Calibri"/>
        <family val="2"/>
        <scheme val="minor"/>
      </rPr>
      <t xml:space="preserve">: This is a strategic initiative aimed at coordinating South Africa’s transition to renewable energy, ensuring a just and inclusive approach.
o	</t>
    </r>
    <r>
      <rPr>
        <b/>
        <sz val="11"/>
        <color rgb="FF0070C0"/>
        <rFont val="Calibri"/>
        <family val="2"/>
        <scheme val="minor"/>
      </rPr>
      <t>Climate Change Champions</t>
    </r>
    <r>
      <rPr>
        <sz val="11"/>
        <color rgb="FF0070C0"/>
        <rFont val="Calibri"/>
        <family val="2"/>
        <scheme val="minor"/>
      </rPr>
      <t xml:space="preserve">: This project is geared toward community engagement, ensuring that local voices are heard in the transition process. It involves training local leaders to advocate for climate action and green solutions.
o	</t>
    </r>
    <r>
      <rPr>
        <b/>
        <sz val="11"/>
        <color rgb="FF0070C0"/>
        <rFont val="Calibri"/>
        <family val="2"/>
        <scheme val="minor"/>
      </rPr>
      <t>Stakeholder Engagement</t>
    </r>
    <r>
      <rPr>
        <sz val="11"/>
        <color rgb="FF0070C0"/>
        <rFont val="Calibri"/>
        <family val="2"/>
        <scheme val="minor"/>
      </rPr>
      <t>: Engaging local communities and stakeholders is central to the EU’s approach, ensuring inclusivity in the transition process.</t>
    </r>
  </si>
  <si>
    <r>
      <t xml:space="preserve">3.	</t>
    </r>
    <r>
      <rPr>
        <b/>
        <sz val="11"/>
        <color rgb="FF0070C0"/>
        <rFont val="Calibri"/>
        <family val="2"/>
        <scheme val="minor"/>
      </rPr>
      <t>European Union</t>
    </r>
    <r>
      <rPr>
        <sz val="11"/>
        <color rgb="FF0070C0"/>
        <rFont val="Calibri"/>
        <family val="2"/>
        <scheme val="minor"/>
      </rPr>
      <t>: The EU is providing extensive support through multiple projects, including:</t>
    </r>
  </si>
  <si>
    <r>
      <t xml:space="preserve">4.	</t>
    </r>
    <r>
      <rPr>
        <b/>
        <sz val="11"/>
        <color rgb="FF0070C0"/>
        <rFont val="Calibri"/>
        <family val="2"/>
        <scheme val="minor"/>
      </rPr>
      <t>United States</t>
    </r>
    <r>
      <rPr>
        <sz val="11"/>
        <color rgb="FF0070C0"/>
        <rFont val="Calibri"/>
        <family val="2"/>
        <scheme val="minor"/>
      </rPr>
      <t xml:space="preserve">: The US has focused on a range of initiatives aimed at improving </t>
    </r>
    <r>
      <rPr>
        <b/>
        <sz val="11"/>
        <color rgb="FF0070C0"/>
        <rFont val="Calibri"/>
        <family val="2"/>
        <scheme val="minor"/>
      </rPr>
      <t>electricity transmission</t>
    </r>
    <r>
      <rPr>
        <sz val="11"/>
        <color rgb="FF0070C0"/>
        <rFont val="Calibri"/>
        <family val="2"/>
        <scheme val="minor"/>
      </rPr>
      <t xml:space="preserve"> and </t>
    </r>
    <r>
      <rPr>
        <b/>
        <sz val="11"/>
        <color rgb="FF0070C0"/>
        <rFont val="Calibri"/>
        <family val="2"/>
        <scheme val="minor"/>
      </rPr>
      <t>local energy manufacturing</t>
    </r>
    <r>
      <rPr>
        <sz val="11"/>
        <color rgb="FF0070C0"/>
        <rFont val="Calibri"/>
        <family val="2"/>
        <scheme val="minor"/>
      </rPr>
      <t>. These projects aim to increase the resilience and efficiency of South Africa’s energy grid, while also building domestic capacity to meet future energy needs.</t>
    </r>
  </si>
  <si>
    <r>
      <rPr>
        <b/>
        <sz val="11"/>
        <color rgb="FF0070C0"/>
        <rFont val="Calibri"/>
        <family val="2"/>
        <scheme val="minor"/>
      </rPr>
      <t xml:space="preserve">Summary of the Data Table (Funding Souce): </t>
    </r>
    <r>
      <rPr>
        <sz val="11"/>
        <color rgb="FF0070C0"/>
        <rFont val="Calibri"/>
        <family val="2"/>
        <scheme val="minor"/>
      </rPr>
      <t xml:space="preserve">The data presented shows the financial contributions from various countries and organizations to support projects in South Africa related to the Just Energy Transition. The total funding underway (excluding the planned amounts of </t>
    </r>
    <r>
      <rPr>
        <b/>
        <sz val="11"/>
        <color rgb="FF0070C0"/>
        <rFont val="Calibri"/>
        <family val="2"/>
        <scheme val="minor"/>
      </rPr>
      <t>$206 million</t>
    </r>
    <r>
      <rPr>
        <sz val="11"/>
        <color rgb="FF0070C0"/>
        <rFont val="Calibri"/>
        <family val="2"/>
        <scheme val="minor"/>
      </rPr>
      <t xml:space="preserve">) is approximately </t>
    </r>
    <r>
      <rPr>
        <b/>
        <sz val="11"/>
        <color rgb="FF0070C0"/>
        <rFont val="Calibri"/>
        <family val="2"/>
        <scheme val="minor"/>
      </rPr>
      <t>$630 million (USD)</t>
    </r>
    <r>
      <rPr>
        <sz val="11"/>
        <color rgb="FF0070C0"/>
        <rFont val="Calibri"/>
        <family val="2"/>
        <scheme val="minor"/>
      </rPr>
      <t xml:space="preserve">, which translates to around </t>
    </r>
    <r>
      <rPr>
        <b/>
        <sz val="11"/>
        <color rgb="FF0070C0"/>
        <rFont val="Calibri"/>
        <family val="2"/>
        <scheme val="minor"/>
      </rPr>
      <t>R11 billion (ZAR)</t>
    </r>
    <r>
      <rPr>
        <sz val="11"/>
        <color rgb="FF0070C0"/>
        <rFont val="Calibri"/>
        <family val="2"/>
        <scheme val="minor"/>
      </rPr>
      <t>. Here’s a breakdown of the key contributions:</t>
    </r>
  </si>
  <si>
    <r>
      <rPr>
        <b/>
        <sz val="11"/>
        <color rgb="FF0070C0"/>
        <rFont val="Calibri"/>
        <family val="2"/>
        <scheme val="minor"/>
      </rPr>
      <t xml:space="preserve">Summary of Projects Supported by Grants in Relation to the Graph: </t>
    </r>
    <r>
      <rPr>
        <sz val="11"/>
        <color rgb="FF0070C0"/>
        <rFont val="Calibri"/>
        <family val="2"/>
        <scheme val="minor"/>
      </rPr>
      <t>Here’s a summary narrative of the projects supported by the grants from various funding sources:</t>
    </r>
  </si>
  <si>
    <r>
      <rPr>
        <b/>
        <sz val="11"/>
        <color rgb="FF0070C0"/>
        <rFont val="Calibri"/>
        <family val="2"/>
        <scheme val="minor"/>
      </rPr>
      <t xml:space="preserve">Summary Narrative in relation to the Graph (Funding Disbursements): </t>
    </r>
    <r>
      <rPr>
        <sz val="11"/>
        <color rgb="FF0070C0"/>
        <rFont val="Calibri"/>
        <family val="2"/>
        <scheme val="minor"/>
      </rPr>
      <t xml:space="preserve">The graph and the accompanying table show the distribution of grant funding in South African Rand (ZAR) over time, with notable peaks, referred to as </t>
    </r>
    <r>
      <rPr>
        <b/>
        <sz val="11"/>
        <color rgb="FF0070C0"/>
        <rFont val="Calibri"/>
        <family val="2"/>
        <scheme val="minor"/>
      </rPr>
      <t>outliers</t>
    </r>
    <r>
      <rPr>
        <sz val="11"/>
        <color rgb="FF0070C0"/>
        <rFont val="Calibri"/>
        <family val="2"/>
        <scheme val="minor"/>
      </rPr>
      <t>, where significantly larger amounts of funding are scheduled or have been disbursed.</t>
    </r>
  </si>
  <si>
    <r>
      <rPr>
        <b/>
        <sz val="11"/>
        <color rgb="FF0070C0"/>
        <rFont val="Calibri"/>
        <family val="2"/>
        <scheme val="minor"/>
      </rPr>
      <t>Summary Narrative of the Chart</t>
    </r>
    <r>
      <rPr>
        <sz val="11"/>
        <color rgb="FF0070C0"/>
        <rFont val="Calibri"/>
        <family val="2"/>
        <scheme val="minor"/>
      </rPr>
      <t>: The chart show how the total grant funding, measured in South African Rand (ZAR), is distributed across different stages of project development, excluding the planned funding of R3.6 billion, which is yet to be allocated. The three main categories are Pledged,Implementation Phase, and Completed.</t>
    </r>
  </si>
  <si>
    <r>
      <rPr>
        <b/>
        <sz val="11"/>
        <color rgb="FF0070C0"/>
        <rFont val="Calibri"/>
        <family val="2"/>
        <scheme val="minor"/>
      </rPr>
      <t>B. Pledged</t>
    </r>
    <r>
      <rPr>
        <sz val="11"/>
        <color rgb="FF0070C0"/>
        <rFont val="Calibri"/>
        <family val="2"/>
        <scheme val="minor"/>
      </rPr>
      <t xml:space="preserve">: Around </t>
    </r>
    <r>
      <rPr>
        <b/>
        <sz val="11"/>
        <color rgb="FF0070C0"/>
        <rFont val="Calibri"/>
        <family val="2"/>
        <scheme val="minor"/>
      </rPr>
      <t xml:space="preserve">R4.27 billion </t>
    </r>
    <r>
      <rPr>
        <sz val="11"/>
        <color rgb="FF0070C0"/>
        <rFont val="Calibri"/>
        <family val="2"/>
        <scheme val="minor"/>
      </rPr>
      <t xml:space="preserve">is in the Pledged phase. These funds have been committed but are not yet in active use. They represent financial promises made by funders that will be released once certain conditions are met or once projects are ready to begin. This pledged amount is crucial for upcoming initiatives that will soon enter the implementation phase.
</t>
    </r>
    <r>
      <rPr>
        <b/>
        <sz val="11"/>
        <color rgb="FF0070C0"/>
        <rFont val="Calibri"/>
        <family val="2"/>
        <scheme val="minor"/>
      </rPr>
      <t>C. Implementation Phase</t>
    </r>
    <r>
      <rPr>
        <sz val="11"/>
        <color rgb="FF0070C0"/>
        <rFont val="Calibri"/>
        <family val="2"/>
        <scheme val="minor"/>
      </rPr>
      <t xml:space="preserve">: The largest portion of funding, </t>
    </r>
    <r>
      <rPr>
        <b/>
        <sz val="11"/>
        <color rgb="FF0070C0"/>
        <rFont val="Calibri"/>
        <family val="2"/>
        <scheme val="minor"/>
      </rPr>
      <t>R6.37 billion</t>
    </r>
    <r>
      <rPr>
        <sz val="11"/>
        <color rgb="FF0070C0"/>
        <rFont val="Calibri"/>
        <family val="2"/>
        <scheme val="minor"/>
      </rPr>
      <t xml:space="preserve">, is currently in the </t>
    </r>
    <r>
      <rPr>
        <b/>
        <sz val="11"/>
        <color rgb="FF0070C0"/>
        <rFont val="Calibri"/>
        <family val="2"/>
        <scheme val="minor"/>
      </rPr>
      <t>Implementation Phase</t>
    </r>
    <r>
      <rPr>
        <sz val="11"/>
        <color rgb="FF0070C0"/>
        <rFont val="Calibri"/>
        <family val="2"/>
        <scheme val="minor"/>
      </rPr>
      <t xml:space="preserve">, where active projects are being executed. This includes efforts such as infrastructure upgrades, renewable energy projects, and various community-based initiatives. The majority of the available funding is dedicated to this phase, highlighting the ongoing development work in South Africa's Just Energy Transition.
</t>
    </r>
    <r>
      <rPr>
        <b/>
        <sz val="11"/>
        <color rgb="FF0070C0"/>
        <rFont val="Calibri"/>
        <family val="2"/>
        <scheme val="minor"/>
      </rPr>
      <t>D. Completed</t>
    </r>
    <r>
      <rPr>
        <sz val="11"/>
        <color rgb="FF0070C0"/>
        <rFont val="Calibri"/>
        <family val="2"/>
        <scheme val="minor"/>
      </rPr>
      <t xml:space="preserve">: A smaller portion, </t>
    </r>
    <r>
      <rPr>
        <b/>
        <sz val="11"/>
        <color rgb="FF0070C0"/>
        <rFont val="Calibri"/>
        <family val="2"/>
        <scheme val="minor"/>
      </rPr>
      <t>R459 million</t>
    </r>
    <r>
      <rPr>
        <sz val="11"/>
        <color rgb="FF0070C0"/>
        <rFont val="Calibri"/>
        <family val="2"/>
        <scheme val="minor"/>
      </rPr>
      <t xml:space="preserve">, has already been used in </t>
    </r>
    <r>
      <rPr>
        <b/>
        <sz val="11"/>
        <color rgb="FF0070C0"/>
        <rFont val="Calibri"/>
        <family val="2"/>
        <scheme val="minor"/>
      </rPr>
      <t>Completed</t>
    </r>
    <r>
      <rPr>
        <sz val="11"/>
        <color rgb="FF0070C0"/>
        <rFont val="Calibri"/>
        <family val="2"/>
        <scheme val="minor"/>
      </rPr>
      <t xml:space="preserve"> projects. These represent successful projects that have been fully executed, delivering their intended outcomes, such as completed infrastructure developments or local renewable energy projects.</t>
    </r>
  </si>
  <si>
    <r>
      <rPr>
        <b/>
        <sz val="11"/>
        <color rgb="FF0070C0"/>
        <rFont val="Calibri"/>
        <family val="2"/>
        <scheme val="minor"/>
      </rPr>
      <t>Exclusion of Planned Funds</t>
    </r>
    <r>
      <rPr>
        <sz val="11"/>
        <color rgb="FF0070C0"/>
        <rFont val="Calibri"/>
        <family val="2"/>
        <scheme val="minor"/>
      </rPr>
      <t xml:space="preserve">: It is important to note that the totals in this chart and table exclude </t>
    </r>
    <r>
      <rPr>
        <b/>
        <sz val="11"/>
        <color rgb="FF0070C0"/>
        <rFont val="Calibri"/>
        <family val="2"/>
        <scheme val="minor"/>
      </rPr>
      <t>R3.6 billion</t>
    </r>
    <r>
      <rPr>
        <sz val="11"/>
        <color rgb="FF0070C0"/>
        <rFont val="Calibri"/>
        <family val="2"/>
        <scheme val="minor"/>
      </rPr>
      <t xml:space="preserve"> allocated for </t>
    </r>
    <r>
      <rPr>
        <b/>
        <sz val="11"/>
        <color rgb="FF0070C0"/>
        <rFont val="Calibri"/>
        <family val="2"/>
        <scheme val="minor"/>
      </rPr>
      <t xml:space="preserve">A. Planned </t>
    </r>
    <r>
      <rPr>
        <sz val="11"/>
        <color rgb="FF0070C0"/>
        <rFont val="Calibri"/>
        <family val="2"/>
        <scheme val="minor"/>
      </rPr>
      <t>projects. These funds are still in the planning stages and are yet to be formally committed or allocated to specific projects. This amount will be crucial for future initiatives, but it is not currently reflected in the figures for implemented, pledged, or completed projects.</t>
    </r>
  </si>
  <si>
    <t>Total USD and ZAR Funding by Portfolio</t>
  </si>
  <si>
    <t>Grand Total:</t>
  </si>
  <si>
    <r>
      <rPr>
        <b/>
        <sz val="11"/>
        <color rgb="FF0070C0"/>
        <rFont val="Calibri"/>
        <family val="2"/>
        <scheme val="minor"/>
      </rPr>
      <t>Summary Narrative</t>
    </r>
    <r>
      <rPr>
        <sz val="11"/>
        <color rgb="FF0070C0"/>
        <rFont val="Calibri"/>
        <family val="2"/>
        <scheme val="minor"/>
      </rPr>
      <t xml:space="preserve">: This table breaks down the total grant funding across different project portfolios in both </t>
    </r>
    <r>
      <rPr>
        <b/>
        <sz val="11"/>
        <color rgb="FF0070C0"/>
        <rFont val="Calibri"/>
        <family val="2"/>
        <scheme val="minor"/>
      </rPr>
      <t>USD</t>
    </r>
    <r>
      <rPr>
        <sz val="11"/>
        <color rgb="FF0070C0"/>
        <rFont val="Calibri"/>
        <family val="2"/>
        <scheme val="minor"/>
      </rPr>
      <t xml:space="preserve"> and </t>
    </r>
    <r>
      <rPr>
        <b/>
        <sz val="11"/>
        <color rgb="FF0070C0"/>
        <rFont val="Calibri"/>
        <family val="2"/>
        <scheme val="minor"/>
      </rPr>
      <t>ZAR</t>
    </r>
    <r>
      <rPr>
        <sz val="11"/>
        <color rgb="FF0070C0"/>
        <rFont val="Calibri"/>
        <family val="2"/>
        <scheme val="minor"/>
      </rPr>
      <t>. Each portfolio represents a different area of focus within South Africa's energy transition and development efforts. Here's a simple explanation of each portfolio and its funding:</t>
    </r>
  </si>
  <si>
    <r>
      <t xml:space="preserve">1. </t>
    </r>
    <r>
      <rPr>
        <b/>
        <sz val="11"/>
        <color rgb="FF0070C0"/>
        <rFont val="Calibri"/>
        <family val="2"/>
        <scheme val="minor"/>
      </rPr>
      <t>Electricity</t>
    </r>
    <r>
      <rPr>
        <sz val="11"/>
        <color rgb="FF0070C0"/>
        <rFont val="Calibri"/>
        <family val="2"/>
        <scheme val="minor"/>
      </rPr>
      <t xml:space="preserve">: This is the largest portfolio, receiving over </t>
    </r>
    <r>
      <rPr>
        <b/>
        <sz val="11"/>
        <color rgb="FF0070C0"/>
        <rFont val="Calibri"/>
        <family val="2"/>
        <scheme val="minor"/>
      </rPr>
      <t>$171 million</t>
    </r>
    <r>
      <rPr>
        <sz val="11"/>
        <color rgb="FF0070C0"/>
        <rFont val="Calibri"/>
        <family val="2"/>
        <scheme val="minor"/>
      </rPr>
      <t xml:space="preserve"> (approximately </t>
    </r>
    <r>
      <rPr>
        <b/>
        <sz val="11"/>
        <color rgb="FF0070C0"/>
        <rFont val="Calibri"/>
        <family val="2"/>
        <scheme val="minor"/>
      </rPr>
      <t>R3 billion</t>
    </r>
    <r>
      <rPr>
        <sz val="11"/>
        <color rgb="FF0070C0"/>
        <rFont val="Calibri"/>
        <family val="2"/>
        <scheme val="minor"/>
      </rPr>
      <t>). It focuses on upgrading South Africa's electricity infrastructure, including projects to enhance the transmission of energy, modernize the grid, and integrate renewable energy sources.</t>
    </r>
  </si>
  <si>
    <r>
      <t xml:space="preserve">2. </t>
    </r>
    <r>
      <rPr>
        <b/>
        <sz val="11"/>
        <color rgb="FF0070C0"/>
        <rFont val="Calibri"/>
        <family val="2"/>
        <scheme val="minor"/>
      </rPr>
      <t>JT-Mpumalanga</t>
    </r>
    <r>
      <rPr>
        <sz val="11"/>
        <color rgb="FF0070C0"/>
        <rFont val="Calibri"/>
        <family val="2"/>
        <scheme val="minor"/>
      </rPr>
      <t xml:space="preserve">: </t>
    </r>
    <r>
      <rPr>
        <b/>
        <sz val="11"/>
        <color rgb="FF0070C0"/>
        <rFont val="Calibri"/>
        <family val="2"/>
        <scheme val="minor"/>
      </rPr>
      <t>$150 million</t>
    </r>
    <r>
      <rPr>
        <sz val="11"/>
        <color rgb="FF0070C0"/>
        <rFont val="Calibri"/>
        <family val="2"/>
        <scheme val="minor"/>
      </rPr>
      <t xml:space="preserve"> (about </t>
    </r>
    <r>
      <rPr>
        <b/>
        <sz val="11"/>
        <color rgb="FF0070C0"/>
        <rFont val="Calibri"/>
        <family val="2"/>
        <scheme val="minor"/>
      </rPr>
      <t>R2.6 billion</t>
    </r>
    <r>
      <rPr>
        <sz val="11"/>
        <color rgb="FF0070C0"/>
        <rFont val="Calibri"/>
        <family val="2"/>
        <scheme val="minor"/>
      </rPr>
      <t>) is dedicated to projects in the Mpumalanga region, which is highly dependent on coal mining. These funds are aimed at helping the region transition away from coal by creating new jobs and promoting sustainable energy alternatives.</t>
    </r>
  </si>
  <si>
    <r>
      <t xml:space="preserve">3. </t>
    </r>
    <r>
      <rPr>
        <b/>
        <sz val="11"/>
        <color rgb="FF0070C0"/>
        <rFont val="Calibri"/>
        <family val="2"/>
        <scheme val="minor"/>
      </rPr>
      <t>Green Hydrogen</t>
    </r>
    <r>
      <rPr>
        <sz val="11"/>
        <color rgb="FF0070C0"/>
        <rFont val="Calibri"/>
        <family val="2"/>
        <scheme val="minor"/>
      </rPr>
      <t xml:space="preserve">: The Green Hydrogen portfolio receives </t>
    </r>
    <r>
      <rPr>
        <b/>
        <sz val="11"/>
        <color rgb="FF0070C0"/>
        <rFont val="Calibri"/>
        <family val="2"/>
        <scheme val="minor"/>
      </rPr>
      <t>$141 million</t>
    </r>
    <r>
      <rPr>
        <sz val="11"/>
        <color rgb="FF0070C0"/>
        <rFont val="Calibri"/>
        <family val="2"/>
        <scheme val="minor"/>
      </rPr>
      <t xml:space="preserve"> (roughly </t>
    </r>
    <r>
      <rPr>
        <b/>
        <sz val="11"/>
        <color rgb="FF0070C0"/>
        <rFont val="Calibri"/>
        <family val="2"/>
        <scheme val="minor"/>
      </rPr>
      <t>R2.48 billion</t>
    </r>
    <r>
      <rPr>
        <sz val="11"/>
        <color rgb="FF0070C0"/>
        <rFont val="Calibri"/>
        <family val="2"/>
        <scheme val="minor"/>
      </rPr>
      <t>). This funding supports the development of hydrogen as a clean energy source, a key part of reducing carbon emissions and creating sustainable industrial processes.</t>
    </r>
  </si>
  <si>
    <r>
      <t xml:space="preserve">4. </t>
    </r>
    <r>
      <rPr>
        <b/>
        <sz val="11"/>
        <color rgb="FF0070C0"/>
        <rFont val="Calibri"/>
        <family val="2"/>
        <scheme val="minor"/>
      </rPr>
      <t>Municipalities</t>
    </r>
    <r>
      <rPr>
        <sz val="11"/>
        <color rgb="FF0070C0"/>
        <rFont val="Calibri"/>
        <family val="2"/>
        <scheme val="minor"/>
      </rPr>
      <t xml:space="preserve">: Over </t>
    </r>
    <r>
      <rPr>
        <b/>
        <sz val="11"/>
        <color rgb="FF0070C0"/>
        <rFont val="Calibri"/>
        <family val="2"/>
        <scheme val="minor"/>
      </rPr>
      <t>$97 million</t>
    </r>
    <r>
      <rPr>
        <sz val="11"/>
        <color rgb="FF0070C0"/>
        <rFont val="Calibri"/>
        <family val="2"/>
        <scheme val="minor"/>
      </rPr>
      <t xml:space="preserve"> (approximately </t>
    </r>
    <r>
      <rPr>
        <b/>
        <sz val="11"/>
        <color rgb="FF0070C0"/>
        <rFont val="Calibri"/>
        <family val="2"/>
        <scheme val="minor"/>
      </rPr>
      <t>R1.71 billion</t>
    </r>
    <r>
      <rPr>
        <sz val="11"/>
        <color rgb="FF0070C0"/>
        <rFont val="Calibri"/>
        <family val="2"/>
        <scheme val="minor"/>
      </rPr>
      <t>) is allocated to municipalities across South Africa to help them implement green projects at the local government level. This includes infrastructure upgrades and local renewable energy initiatives that benefit communities directly.</t>
    </r>
  </si>
  <si>
    <r>
      <t>6.</t>
    </r>
    <r>
      <rPr>
        <b/>
        <sz val="11"/>
        <color rgb="FF0070C0"/>
        <rFont val="Calibri"/>
        <family val="2"/>
        <scheme val="minor"/>
      </rPr>
      <t xml:space="preserve"> Skills Development</t>
    </r>
    <r>
      <rPr>
        <sz val="11"/>
        <color rgb="FF0070C0"/>
        <rFont val="Calibri"/>
        <family val="2"/>
        <scheme val="minor"/>
      </rPr>
      <t xml:space="preserve">: The Skills portfolio, with funding of </t>
    </r>
    <r>
      <rPr>
        <b/>
        <sz val="11"/>
        <color rgb="FF0070C0"/>
        <rFont val="Calibri"/>
        <family val="2"/>
        <scheme val="minor"/>
      </rPr>
      <t>$69 million</t>
    </r>
    <r>
      <rPr>
        <sz val="11"/>
        <color rgb="FF0070C0"/>
        <rFont val="Calibri"/>
        <family val="2"/>
        <scheme val="minor"/>
      </rPr>
      <t xml:space="preserve"> (about </t>
    </r>
    <r>
      <rPr>
        <b/>
        <sz val="11"/>
        <color rgb="FF0070C0"/>
        <rFont val="Calibri"/>
        <family val="2"/>
        <scheme val="minor"/>
      </rPr>
      <t>R1.22 billion</t>
    </r>
    <r>
      <rPr>
        <sz val="11"/>
        <color rgb="FF0070C0"/>
        <rFont val="Calibri"/>
        <family val="2"/>
        <scheme val="minor"/>
      </rPr>
      <t>), focuses on training and upskilling workers to prepare them for jobs in the renewable energy and green economy sectors. This is critical for ensuring that the workforce can support and sustain the transition to clean energy.</t>
    </r>
  </si>
  <si>
    <r>
      <t xml:space="preserve">6. </t>
    </r>
    <r>
      <rPr>
        <b/>
        <sz val="11"/>
        <color rgb="FF0070C0"/>
        <rFont val="Calibri"/>
        <family val="2"/>
        <scheme val="minor"/>
      </rPr>
      <t>NEVs (New Energy Vehicles)</t>
    </r>
    <r>
      <rPr>
        <sz val="11"/>
        <color rgb="FF0070C0"/>
        <rFont val="Calibri"/>
        <family val="2"/>
        <scheme val="minor"/>
      </rPr>
      <t xml:space="preserve">: This portfolio is relatively small, receiving just </t>
    </r>
    <r>
      <rPr>
        <b/>
        <sz val="11"/>
        <color rgb="FF0070C0"/>
        <rFont val="Calibri"/>
        <family val="2"/>
        <scheme val="minor"/>
      </rPr>
      <t>$562,769</t>
    </r>
    <r>
      <rPr>
        <sz val="11"/>
        <color rgb="FF0070C0"/>
        <rFont val="Calibri"/>
        <family val="2"/>
        <scheme val="minor"/>
      </rPr>
      <t xml:space="preserve"> (about </t>
    </r>
    <r>
      <rPr>
        <b/>
        <sz val="11"/>
        <color rgb="FF0070C0"/>
        <rFont val="Calibri"/>
        <family val="2"/>
        <scheme val="minor"/>
      </rPr>
      <t>R9.9 million</t>
    </r>
    <r>
      <rPr>
        <sz val="11"/>
        <color rgb="FF0070C0"/>
        <rFont val="Calibri"/>
        <family val="2"/>
        <scheme val="minor"/>
      </rPr>
      <t xml:space="preserve">), and focuses on the development and adoption of </t>
    </r>
    <r>
      <rPr>
        <b/>
        <sz val="11"/>
        <color rgb="FF0070C0"/>
        <rFont val="Calibri"/>
        <family val="2"/>
        <scheme val="minor"/>
      </rPr>
      <t xml:space="preserve">New Energy Vehicles </t>
    </r>
    <r>
      <rPr>
        <sz val="11"/>
        <color rgb="FF0070C0"/>
        <rFont val="Calibri"/>
        <family val="2"/>
        <scheme val="minor"/>
      </rPr>
      <t>(such as electric vehicles), which will help reduce emissions in the transportation sector.</t>
    </r>
  </si>
  <si>
    <r>
      <rPr>
        <b/>
        <sz val="11"/>
        <color rgb="FF0070C0"/>
        <rFont val="Calibri"/>
        <family val="2"/>
        <scheme val="minor"/>
      </rPr>
      <t>Conclusion</t>
    </r>
    <r>
      <rPr>
        <sz val="11"/>
        <color rgb="FF0070C0"/>
        <rFont val="Calibri"/>
        <family val="2"/>
        <scheme val="minor"/>
      </rPr>
      <t xml:space="preserve">: In total, over </t>
    </r>
    <r>
      <rPr>
        <b/>
        <sz val="11"/>
        <color rgb="FF0070C0"/>
        <rFont val="Calibri"/>
        <family val="2"/>
        <scheme val="minor"/>
      </rPr>
      <t xml:space="preserve">$630 million (R11 billion) </t>
    </r>
    <r>
      <rPr>
        <sz val="11"/>
        <color rgb="FF0070C0"/>
        <rFont val="Calibri"/>
        <family val="2"/>
        <scheme val="minor"/>
      </rPr>
      <t>has been allocated across these portfolios, with the majority going to electricity infrastructure, the Mpumalanga region, and green hydrogen projects. These funds are critical to driving South Africa’s transition to a more sustainable and equitable energy future.</t>
    </r>
  </si>
  <si>
    <r>
      <rPr>
        <u/>
        <sz val="11"/>
        <color rgb="FF0070C0"/>
        <rFont val="Calibri (Body)"/>
      </rPr>
      <t>New partnership yet to be scoped within “Green transition in the food and agriculture production in South Africa”. Potential areas</t>
    </r>
    <r>
      <rPr>
        <sz val="11"/>
        <color rgb="FF0070C0"/>
        <rFont val="Calibri"/>
        <family val="2"/>
        <scheme val="minor"/>
      </rPr>
      <t>: Sustainable and climate friendly livestock and dietary production including food safety, hygiene and animal health, food loss , waste of water and cooling. Capacity building of small-medium scale farmers and producers.  Public Private Partnerships in the food/agric value chain Regulations regarding export entering the EU markets.</t>
    </r>
  </si>
  <si>
    <r>
      <rPr>
        <u/>
        <sz val="11"/>
        <color rgb="FF0070C0"/>
        <rFont val="Calibri"/>
        <family val="2"/>
        <scheme val="minor"/>
      </rPr>
      <t>City of Johannesburg and City of Copenhagen collaboration on energy efficiency:</t>
    </r>
    <r>
      <rPr>
        <sz val="11"/>
        <color rgb="FF0070C0"/>
        <rFont val="Calibri"/>
        <family val="2"/>
        <scheme val="minor"/>
      </rPr>
      <t xml:space="preserve"> CoJ and CoC are starting first phase of a collaboration on improving energy efficiency in public buildings in Johannesburg to improve the indoor climate and save energy and money for both the city and tenants of public buildings. Phase 1 will finish by 31. December 2027.</t>
    </r>
  </si>
  <si>
    <r>
      <rPr>
        <u/>
        <sz val="11"/>
        <color rgb="FF0070C0"/>
        <rFont val="Calibri (Body)"/>
      </rPr>
      <t>Energy Sector Decarbonisation Pathways to Meet a Net-Zero Emissions Target by 2050 (UK PACT)</t>
    </r>
    <r>
      <rPr>
        <sz val="11"/>
        <color rgb="FF0070C0"/>
        <rFont val="Calibri"/>
        <family val="2"/>
        <scheme val="minor"/>
      </rPr>
      <t>: This project set out the key business as usual and decarbonisation scenarios for the energy sector focusing on electricity, petroleum and transport sectors to meet the net zero emissions target by 2050 consistent with the Paris Agreement.  It also undertook modelling analysis to examine the overall environmental, economic and social impacts of the different pathways.</t>
    </r>
  </si>
  <si>
    <r>
      <t>Mining Rights Mapping and Planning in Mpumalanga</t>
    </r>
    <r>
      <rPr>
        <sz val="11"/>
        <color rgb="FF0070C0"/>
        <rFont val="Calibri"/>
        <family val="2"/>
        <scheme val="minor"/>
      </rPr>
      <t>: To be overlaid with other information available (Biodiversity areas, land ownership, wind measurements, bird flight pathways etc.)to support the rolling out of large-scale RE in Mpumalanga province.</t>
    </r>
  </si>
  <si>
    <r>
      <t>Alternative Basic Service Delivery</t>
    </r>
    <r>
      <rPr>
        <sz val="11"/>
        <color rgb="FF0070C0"/>
        <rFont val="Calibri"/>
        <family val="2"/>
        <scheme val="minor"/>
      </rPr>
      <t>: In Nomzamo Agricultural Village in Mpumalanga, including a common understanding of the required framework conditions for local municipalities in the province to explore alternative service delivery models.</t>
    </r>
  </si>
  <si>
    <r>
      <t>Wind Atlas South Africa (WASA)</t>
    </r>
    <r>
      <rPr>
        <sz val="11"/>
        <color rgb="FF0070C0"/>
        <rFont val="Calibri"/>
        <family val="2"/>
        <scheme val="minor"/>
      </rPr>
      <t xml:space="preserve">: This project aims to improve digital infrastruture for RE, by mapping out where the most suitable sites for on-shore wind energy is located in South Africa, with a special focus on detailed mapping of winds in Mpumalanga, as it is a high priority area for just and green transitioning. The map will be made for public 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</si>
</sst>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R-1C09]* #,##0.00_-;\-[$R-1C09]* #,##0.00_-;_-[$R-1C09]* &quot;-&quot;??_-;_-@_-"/>
    <numFmt numFmtId="165" formatCode="_-[$R-1C09]* #,##0_-;\-[$R-1C09]* #,##0_-;_-[$R-1C09]* &quot;-&quot;??_-;_-@_-"/>
    <numFmt numFmtId="166" formatCode="_-[$$-409]* #,##0_ ;_-[$$-409]* \-#,##0\ ;_-[$$-409]* &quot;-&quot;??_ ;_-@_ "/>
    <numFmt numFmtId="167" formatCode="[$-F800]dddd\,\ mmmm\ dd\,\ yyyy"/>
    <numFmt numFmtId="168" formatCode="[$CHF-807]\ #,##0"/>
    <numFmt numFmtId="169" formatCode="#,##0\ [$kr.-406]"/>
    <numFmt numFmtId="170" formatCode="[$€-2]\ #,##0"/>
    <numFmt numFmtId="171" formatCode="_-[$£-809]* #,##0_-;\-[$£-809]* #,##0_-;_-[$£-809]* &quot;-&quot;??_-;_-@_-"/>
    <numFmt numFmtId="172" formatCode="_([$$-409]* #,##0_);_([$$-409]* \(#,##0\);_([$$-409]* &quot;-&quot;_);_(@_)"/>
    <numFmt numFmtId="173" formatCode="[$CHF-807]\ #,##0;[$CHF-807]\ \-#,##0"/>
    <numFmt numFmtId="174" formatCode="_([$$-409]* #,##0_);_([$$-409]* \(#,##0\);_([$$-409]* &quot;-&quot;??_);_(@_)"/>
    <numFmt numFmtId="175" formatCode="[$$-409]#,##0"/>
    <numFmt numFmtId="176" formatCode="_([$$-409]* #,##0.00_);_([$$-409]* \(#,##0.00\);_([$$-409]* &quot;-&quot;??_);_(@_)"/>
    <numFmt numFmtId="177" formatCode="_(* #,##0_);_(* \(#,##0\);_(* &quot;-&quot;??_);_(@_)"/>
  </numFmts>
  <fonts count="38" x14ac:knownFonts="1">
    <font>
      <sz val="11"/>
      <color theme="1"/>
      <name val="Calibri"/>
      <family val="2"/>
      <scheme val="minor"/>
    </font>
    <font>
      <sz val="8"/>
      <name val="Calibri"/>
      <family val="2"/>
      <scheme val="minor"/>
    </font>
    <font>
      <b/>
      <sz val="11"/>
      <color rgb="FF0070C0"/>
      <name val="Calibri"/>
      <family val="2"/>
      <scheme val="minor"/>
    </font>
    <font>
      <sz val="11"/>
      <color rgb="FF0070C0"/>
      <name val="Calibri"/>
      <family val="2"/>
      <scheme val="minor"/>
    </font>
    <font>
      <sz val="11"/>
      <color theme="1"/>
      <name val="Calibri"/>
      <family val="2"/>
      <scheme val="minor"/>
    </font>
    <font>
      <sz val="11"/>
      <color rgb="FFC00000"/>
      <name val="Calibri"/>
      <family val="2"/>
      <scheme val="minor"/>
    </font>
    <font>
      <b/>
      <sz val="11"/>
      <color rgb="FFC00000"/>
      <name val="Calibri"/>
      <family val="2"/>
      <scheme val="minor"/>
    </font>
    <font>
      <b/>
      <sz val="11"/>
      <color theme="9"/>
      <name val="Calibri"/>
      <family val="2"/>
      <scheme val="minor"/>
    </font>
    <font>
      <sz val="11"/>
      <color theme="9"/>
      <name val="Calibri (Body)"/>
    </font>
    <font>
      <sz val="10.5"/>
      <color theme="1"/>
      <name val="Calibri"/>
      <family val="2"/>
    </font>
    <font>
      <sz val="10.5"/>
      <color theme="1"/>
      <name val="Calibri"/>
      <family val="2"/>
      <scheme val="minor"/>
    </font>
    <font>
      <sz val="11"/>
      <color rgb="FF0070C0"/>
      <name val="Calibri (Body)"/>
    </font>
    <font>
      <b/>
      <sz val="11"/>
      <color rgb="FF0070C0"/>
      <name val="Calibri (Body)"/>
    </font>
    <font>
      <sz val="11"/>
      <color theme="9"/>
      <name val="Calibri"/>
      <family val="2"/>
      <scheme val="minor"/>
    </font>
    <font>
      <b/>
      <sz val="11"/>
      <color theme="9"/>
      <name val="Calibri (Body)"/>
    </font>
    <font>
      <sz val="11"/>
      <color theme="5"/>
      <name val="Calibri"/>
      <family val="2"/>
      <scheme val="minor"/>
    </font>
    <font>
      <b/>
      <sz val="11"/>
      <color theme="0"/>
      <name val="Calibri"/>
      <family val="2"/>
      <scheme val="minor"/>
    </font>
    <font>
      <sz val="11"/>
      <color rgb="FFFF0000"/>
      <name val="Calibri"/>
      <family val="2"/>
      <scheme val="minor"/>
    </font>
    <font>
      <sz val="11"/>
      <color rgb="FF7030A0"/>
      <name val="Calibri"/>
      <family val="2"/>
      <scheme val="minor"/>
    </font>
    <font>
      <u/>
      <sz val="11"/>
      <color rgb="FF0070C0"/>
      <name val="Calibri"/>
      <family val="2"/>
      <scheme val="minor"/>
    </font>
    <font>
      <u/>
      <sz val="11"/>
      <color rgb="FF0070C0"/>
      <name val="Calibri (Body)"/>
    </font>
    <font>
      <sz val="10.5"/>
      <color rgb="FFC00000"/>
      <name val="Calibri"/>
      <family val="2"/>
    </font>
    <font>
      <b/>
      <sz val="10.5"/>
      <color theme="1"/>
      <name val="Calibri"/>
      <family val="2"/>
    </font>
    <font>
      <b/>
      <sz val="10.5"/>
      <color theme="9"/>
      <name val="Calibri"/>
      <family val="2"/>
    </font>
    <font>
      <sz val="10.5"/>
      <color theme="9"/>
      <name val="Calibri"/>
      <family val="2"/>
    </font>
    <font>
      <sz val="11"/>
      <color theme="0"/>
      <name val="Calibri"/>
      <family val="2"/>
      <scheme val="minor"/>
    </font>
    <font>
      <b/>
      <sz val="18"/>
      <color rgb="FF002060"/>
      <name val="Calibri"/>
      <family val="2"/>
      <scheme val="minor"/>
    </font>
    <font>
      <b/>
      <u/>
      <sz val="11"/>
      <color rgb="FF0070C0"/>
      <name val="Calibri (Body)"/>
    </font>
    <font>
      <b/>
      <sz val="11"/>
      <color rgb="FF7030A0"/>
      <name val="Calibri"/>
      <family val="2"/>
      <scheme val="minor"/>
    </font>
    <font>
      <sz val="11"/>
      <color rgb="FFFFC000"/>
      <name val="Calibri"/>
      <family val="2"/>
      <scheme val="minor"/>
    </font>
    <font>
      <u/>
      <sz val="11"/>
      <color theme="10"/>
      <name val="Calibri"/>
      <family val="2"/>
      <scheme val="minor"/>
    </font>
    <font>
      <b/>
      <sz val="8"/>
      <color rgb="FF000000"/>
      <name val="Arial"/>
      <family val="2"/>
    </font>
    <font>
      <b/>
      <sz val="8"/>
      <color theme="1"/>
      <name val="Calibri"/>
      <family val="2"/>
    </font>
    <font>
      <sz val="8"/>
      <color theme="1"/>
      <name val="Calibri"/>
      <family val="2"/>
    </font>
    <font>
      <b/>
      <i/>
      <sz val="8"/>
      <color rgb="FF0070C0"/>
      <name val="Calibri"/>
      <family val="2"/>
    </font>
    <font>
      <b/>
      <sz val="8"/>
      <color rgb="FF0070C0"/>
      <name val="Arial"/>
      <family val="2"/>
    </font>
    <font>
      <u/>
      <sz val="12"/>
      <color rgb="FF0070C0"/>
      <name val="Calibri"/>
      <family val="2"/>
      <scheme val="minor"/>
    </font>
    <font>
      <b/>
      <sz val="11"/>
      <color theme="1"/>
      <name val="Calibri"/>
      <family val="2"/>
      <scheme val="minor"/>
    </font>
  </fonts>
  <fills count="8">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theme="4" tint="0.79998168889431442"/>
      </patternFill>
    </fill>
    <fill>
      <patternFill patternType="solid">
        <fgColor rgb="FFF2F2F2"/>
        <bgColor indexed="64"/>
      </patternFill>
    </fill>
    <fill>
      <patternFill patternType="solid">
        <fgColor theme="9" tint="0.79998168889431442"/>
        <bgColor indexed="64"/>
      </patternFill>
    </fill>
    <fill>
      <patternFill patternType="solid">
        <fgColor theme="8" tint="0.79998168889431442"/>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rgb="FFBDD6EE"/>
      </left>
      <right style="medium">
        <color rgb="FFBDD6EE"/>
      </right>
      <top/>
      <bottom/>
      <diagonal/>
    </border>
    <border>
      <left style="medium">
        <color rgb="FFBDD6EE"/>
      </left>
      <right style="medium">
        <color rgb="FFBDD6EE"/>
      </right>
      <top/>
      <bottom style="medium">
        <color rgb="FFBDD6EE"/>
      </bottom>
      <diagonal/>
    </border>
    <border>
      <left/>
      <right/>
      <top style="thin">
        <color theme="4" tint="0.399975585192419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rgb="FF8EA9DB"/>
      </top>
      <bottom style="thin">
        <color rgb="FF8EA9DB"/>
      </bottom>
      <diagonal/>
    </border>
  </borders>
  <cellStyleXfs count="4">
    <xf numFmtId="0" fontId="0" fillId="0" borderId="0"/>
    <xf numFmtId="9" fontId="4" fillId="0" borderId="0" applyFont="0" applyFill="0" applyBorder="0" applyAlignment="0" applyProtection="0"/>
    <xf numFmtId="43" fontId="4" fillId="0" borderId="0" applyFont="0" applyFill="0" applyBorder="0" applyAlignment="0" applyProtection="0"/>
    <xf numFmtId="0" fontId="30" fillId="0" borderId="0" applyNumberFormat="0" applyFill="0" applyBorder="0" applyAlignment="0" applyProtection="0"/>
  </cellStyleXfs>
  <cellXfs count="254">
    <xf numFmtId="0" fontId="0" fillId="0" borderId="0" xfId="0"/>
    <xf numFmtId="0" fontId="0" fillId="0" borderId="0" xfId="0" applyAlignment="1">
      <alignment wrapText="1"/>
    </xf>
    <xf numFmtId="0" fontId="3" fillId="0" borderId="0" xfId="0" applyFont="1"/>
    <xf numFmtId="167" fontId="0" fillId="0" borderId="0" xfId="0" applyNumberFormat="1"/>
    <xf numFmtId="167" fontId="0" fillId="0" borderId="0" xfId="0" applyNumberFormat="1" applyAlignment="1">
      <alignment wrapText="1"/>
    </xf>
    <xf numFmtId="0" fontId="6" fillId="0" borderId="0" xfId="0" applyFont="1"/>
    <xf numFmtId="0" fontId="7" fillId="0" borderId="0" xfId="0" applyFont="1"/>
    <xf numFmtId="164" fontId="3" fillId="0" borderId="0" xfId="0" applyNumberFormat="1" applyFont="1" applyAlignment="1">
      <alignment wrapText="1"/>
    </xf>
    <xf numFmtId="9" fontId="0" fillId="0" borderId="0" xfId="1" applyFont="1" applyAlignment="1">
      <alignment wrapText="1"/>
    </xf>
    <xf numFmtId="0" fontId="0" fillId="0" borderId="3" xfId="0" applyBorder="1"/>
    <xf numFmtId="0" fontId="9" fillId="0" borderId="0" xfId="0" applyFont="1" applyAlignment="1">
      <alignment vertical="center"/>
    </xf>
    <xf numFmtId="0" fontId="10" fillId="0" borderId="0" xfId="0" applyFont="1"/>
    <xf numFmtId="0" fontId="3" fillId="0" borderId="0" xfId="0" applyFont="1" applyAlignment="1">
      <alignment wrapText="1"/>
    </xf>
    <xf numFmtId="0" fontId="11" fillId="0" borderId="0" xfId="0" applyFont="1" applyAlignment="1">
      <alignment wrapText="1"/>
    </xf>
    <xf numFmtId="167" fontId="3" fillId="0" borderId="0" xfId="0" applyNumberFormat="1" applyFont="1" applyAlignment="1">
      <alignment wrapText="1"/>
    </xf>
    <xf numFmtId="164" fontId="11" fillId="0" borderId="0" xfId="0" applyNumberFormat="1" applyFont="1" applyAlignment="1">
      <alignment wrapText="1"/>
    </xf>
    <xf numFmtId="167" fontId="11" fillId="0" borderId="0" xfId="0" applyNumberFormat="1" applyFont="1" applyAlignment="1">
      <alignment wrapText="1"/>
    </xf>
    <xf numFmtId="0" fontId="12" fillId="0" borderId="0" xfId="0" applyFont="1" applyAlignment="1">
      <alignment wrapText="1"/>
    </xf>
    <xf numFmtId="164" fontId="12" fillId="0" borderId="0" xfId="0" applyNumberFormat="1" applyFont="1" applyAlignment="1">
      <alignment wrapText="1"/>
    </xf>
    <xf numFmtId="167" fontId="12" fillId="0" borderId="0" xfId="0" applyNumberFormat="1" applyFont="1" applyAlignment="1">
      <alignment wrapText="1"/>
    </xf>
    <xf numFmtId="9" fontId="0" fillId="0" borderId="0" xfId="1" applyFont="1" applyBorder="1" applyAlignment="1">
      <alignment horizontal="right" vertical="center"/>
    </xf>
    <xf numFmtId="9" fontId="3" fillId="0" borderId="0" xfId="1" applyFont="1" applyBorder="1" applyAlignment="1">
      <alignment horizontal="right" vertical="center"/>
    </xf>
    <xf numFmtId="0" fontId="7" fillId="0" borderId="0" xfId="0" applyFont="1" applyAlignment="1">
      <alignment wrapText="1"/>
    </xf>
    <xf numFmtId="9" fontId="7" fillId="0" borderId="0" xfId="1" applyFont="1" applyAlignment="1">
      <alignment wrapText="1"/>
    </xf>
    <xf numFmtId="0" fontId="14" fillId="0" borderId="0" xfId="0" applyFont="1" applyAlignment="1">
      <alignment wrapText="1"/>
    </xf>
    <xf numFmtId="166" fontId="13" fillId="0" borderId="0" xfId="0" applyNumberFormat="1" applyFont="1"/>
    <xf numFmtId="166" fontId="8" fillId="0" borderId="0" xfId="0" applyNumberFormat="1" applyFont="1"/>
    <xf numFmtId="165" fontId="8" fillId="0" borderId="0" xfId="0" applyNumberFormat="1" applyFont="1"/>
    <xf numFmtId="166" fontId="14" fillId="0" borderId="0" xfId="0" applyNumberFormat="1" applyFont="1"/>
    <xf numFmtId="0" fontId="13" fillId="0" borderId="0" xfId="0" applyFont="1" applyAlignment="1">
      <alignment wrapText="1"/>
    </xf>
    <xf numFmtId="0" fontId="13" fillId="0" borderId="0" xfId="0" applyFont="1"/>
    <xf numFmtId="164" fontId="13" fillId="0" borderId="0" xfId="0" applyNumberFormat="1" applyFont="1" applyAlignment="1">
      <alignment wrapText="1"/>
    </xf>
    <xf numFmtId="9" fontId="13" fillId="0" borderId="0" xfId="1" applyFont="1" applyAlignment="1">
      <alignment wrapText="1"/>
    </xf>
    <xf numFmtId="167" fontId="13" fillId="0" borderId="0" xfId="0" applyNumberFormat="1" applyFont="1" applyAlignment="1">
      <alignment wrapText="1"/>
    </xf>
    <xf numFmtId="0" fontId="5" fillId="0" borderId="0" xfId="0" applyFont="1"/>
    <xf numFmtId="0" fontId="5" fillId="0" borderId="0" xfId="0" applyFont="1" applyAlignment="1">
      <alignment wrapText="1"/>
    </xf>
    <xf numFmtId="164" fontId="5" fillId="0" borderId="0" xfId="0" applyNumberFormat="1" applyFont="1" applyAlignment="1">
      <alignment wrapText="1"/>
    </xf>
    <xf numFmtId="9" fontId="5" fillId="0" borderId="0" xfId="1" applyFont="1" applyAlignment="1">
      <alignment wrapText="1"/>
    </xf>
    <xf numFmtId="9" fontId="6" fillId="0" borderId="0" xfId="1" applyFont="1" applyAlignment="1">
      <alignment wrapText="1"/>
    </xf>
    <xf numFmtId="9" fontId="15" fillId="0" borderId="0" xfId="1" applyFont="1" applyBorder="1" applyAlignment="1">
      <alignment horizontal="right" vertical="center"/>
    </xf>
    <xf numFmtId="166" fontId="6" fillId="0" borderId="0" xfId="0" applyNumberFormat="1" applyFont="1"/>
    <xf numFmtId="167" fontId="5" fillId="0" borderId="0" xfId="0" applyNumberFormat="1" applyFont="1" applyAlignment="1">
      <alignment wrapText="1"/>
    </xf>
    <xf numFmtId="166" fontId="7" fillId="0" borderId="0" xfId="0" applyNumberFormat="1" applyFont="1"/>
    <xf numFmtId="9" fontId="13" fillId="0" borderId="0" xfId="1" applyFont="1" applyBorder="1" applyAlignment="1">
      <alignment horizontal="right" vertical="center"/>
    </xf>
    <xf numFmtId="0" fontId="16" fillId="2" borderId="5" xfId="0" applyFont="1" applyFill="1" applyBorder="1"/>
    <xf numFmtId="167" fontId="16" fillId="2" borderId="5" xfId="0" applyNumberFormat="1" applyFont="1" applyFill="1" applyBorder="1"/>
    <xf numFmtId="164" fontId="14" fillId="0" borderId="0" xfId="0" applyNumberFormat="1" applyFont="1" applyAlignment="1">
      <alignment wrapText="1"/>
    </xf>
    <xf numFmtId="167" fontId="14" fillId="0" borderId="0" xfId="0" applyNumberFormat="1" applyFont="1" applyAlignment="1">
      <alignment wrapText="1"/>
    </xf>
    <xf numFmtId="9" fontId="7" fillId="0" borderId="0" xfId="0" applyNumberFormat="1" applyFont="1" applyAlignment="1">
      <alignment wrapText="1"/>
    </xf>
    <xf numFmtId="9" fontId="7" fillId="0" borderId="0" xfId="1" applyFont="1" applyBorder="1" applyAlignment="1">
      <alignment wrapText="1"/>
    </xf>
    <xf numFmtId="0" fontId="16" fillId="2" borderId="6" xfId="0" applyFont="1" applyFill="1" applyBorder="1"/>
    <xf numFmtId="0" fontId="17" fillId="0" borderId="0" xfId="0" applyFont="1"/>
    <xf numFmtId="2" fontId="2" fillId="0" borderId="2" xfId="0" applyNumberFormat="1" applyFont="1" applyBorder="1" applyAlignment="1">
      <alignment horizontal="center"/>
    </xf>
    <xf numFmtId="0" fontId="2" fillId="0" borderId="1" xfId="0" applyFont="1" applyBorder="1" applyAlignment="1">
      <alignment horizontal="center"/>
    </xf>
    <xf numFmtId="166" fontId="2" fillId="0" borderId="0" xfId="0" applyNumberFormat="1" applyFont="1"/>
    <xf numFmtId="0" fontId="2" fillId="0" borderId="2" xfId="0" applyFont="1" applyBorder="1" applyAlignment="1">
      <alignment horizontal="center"/>
    </xf>
    <xf numFmtId="170" fontId="11" fillId="0" borderId="0" xfId="0" applyNumberFormat="1" applyFont="1"/>
    <xf numFmtId="0" fontId="18" fillId="0" borderId="0" xfId="0" applyFont="1"/>
    <xf numFmtId="170" fontId="2" fillId="0" borderId="0" xfId="0" applyNumberFormat="1" applyFont="1"/>
    <xf numFmtId="166" fontId="11" fillId="0" borderId="0" xfId="0" applyNumberFormat="1" applyFont="1"/>
    <xf numFmtId="165" fontId="3" fillId="0" borderId="0" xfId="0" applyNumberFormat="1" applyFont="1"/>
    <xf numFmtId="165" fontId="11" fillId="0" borderId="0" xfId="0" applyNumberFormat="1" applyFont="1"/>
    <xf numFmtId="0" fontId="11" fillId="0" borderId="0" xfId="0" applyFont="1" applyAlignment="1">
      <alignment vertical="center" wrapText="1"/>
    </xf>
    <xf numFmtId="0" fontId="3" fillId="0" borderId="0" xfId="0" applyFont="1" applyAlignment="1">
      <alignment vertical="center" wrapText="1"/>
    </xf>
    <xf numFmtId="164" fontId="11" fillId="0" borderId="0" xfId="0" applyNumberFormat="1" applyFont="1" applyAlignment="1">
      <alignment vertical="center" wrapText="1"/>
    </xf>
    <xf numFmtId="0" fontId="3" fillId="0" borderId="0" xfId="0" applyFont="1" applyAlignment="1">
      <alignment vertical="center"/>
    </xf>
    <xf numFmtId="166" fontId="11" fillId="0" borderId="0" xfId="0" applyNumberFormat="1" applyFont="1" applyAlignment="1">
      <alignment vertical="center"/>
    </xf>
    <xf numFmtId="165" fontId="3" fillId="0" borderId="0" xfId="0" applyNumberFormat="1" applyFont="1" applyAlignment="1">
      <alignment vertical="center"/>
    </xf>
    <xf numFmtId="166" fontId="3" fillId="0" borderId="0" xfId="0" applyNumberFormat="1" applyFont="1" applyAlignment="1">
      <alignment vertical="center"/>
    </xf>
    <xf numFmtId="166" fontId="2" fillId="0" borderId="0" xfId="0" applyNumberFormat="1" applyFont="1" applyAlignment="1">
      <alignment vertical="center"/>
    </xf>
    <xf numFmtId="165" fontId="2" fillId="0" borderId="0" xfId="0" applyNumberFormat="1" applyFont="1"/>
    <xf numFmtId="165" fontId="12" fillId="0" borderId="0" xfId="0" applyNumberFormat="1" applyFont="1"/>
    <xf numFmtId="170" fontId="2" fillId="0" borderId="0" xfId="0" applyNumberFormat="1" applyFont="1" applyAlignment="1">
      <alignment vertical="center"/>
    </xf>
    <xf numFmtId="165" fontId="12" fillId="0" borderId="0" xfId="0" applyNumberFormat="1" applyFont="1" applyAlignment="1">
      <alignment vertical="center"/>
    </xf>
    <xf numFmtId="171" fontId="3" fillId="0" borderId="0" xfId="0" applyNumberFormat="1" applyFont="1" applyAlignment="1">
      <alignment vertical="center"/>
    </xf>
    <xf numFmtId="171" fontId="11" fillId="0" borderId="0" xfId="0" applyNumberFormat="1" applyFont="1" applyAlignment="1">
      <alignment vertical="center"/>
    </xf>
    <xf numFmtId="164" fontId="3" fillId="0" borderId="0" xfId="0" applyNumberFormat="1" applyFont="1" applyAlignment="1">
      <alignment vertical="center" wrapText="1"/>
    </xf>
    <xf numFmtId="166" fontId="12" fillId="0" borderId="0" xfId="0" applyNumberFormat="1" applyFont="1"/>
    <xf numFmtId="170" fontId="11" fillId="0" borderId="0" xfId="0" applyNumberFormat="1" applyFont="1" applyAlignment="1">
      <alignment vertical="center"/>
    </xf>
    <xf numFmtId="165" fontId="11" fillId="0" borderId="0" xfId="0" applyNumberFormat="1" applyFont="1" applyAlignment="1">
      <alignment vertical="center"/>
    </xf>
    <xf numFmtId="170" fontId="3" fillId="0" borderId="0" xfId="0" applyNumberFormat="1" applyFont="1" applyAlignment="1">
      <alignment vertical="center"/>
    </xf>
    <xf numFmtId="168" fontId="3" fillId="0" borderId="0" xfId="0" applyNumberFormat="1" applyFont="1" applyAlignment="1">
      <alignment vertical="center"/>
    </xf>
    <xf numFmtId="174" fontId="3" fillId="0" borderId="0" xfId="0" applyNumberFormat="1" applyFont="1"/>
    <xf numFmtId="173" fontId="3" fillId="0" borderId="0" xfId="0" applyNumberFormat="1" applyFont="1"/>
    <xf numFmtId="9" fontId="3" fillId="0" borderId="0" xfId="1" applyFont="1" applyAlignment="1">
      <alignment vertical="center" wrapText="1"/>
    </xf>
    <xf numFmtId="167" fontId="3" fillId="0" borderId="0" xfId="0" applyNumberFormat="1" applyFont="1" applyAlignment="1">
      <alignment vertical="center" wrapText="1"/>
    </xf>
    <xf numFmtId="167" fontId="11" fillId="0" borderId="0" xfId="0" applyNumberFormat="1" applyFont="1" applyAlignment="1">
      <alignment vertical="center" wrapText="1"/>
    </xf>
    <xf numFmtId="167" fontId="2" fillId="0" borderId="0" xfId="0" applyNumberFormat="1" applyFont="1" applyAlignment="1">
      <alignment vertical="center" wrapText="1"/>
    </xf>
    <xf numFmtId="0" fontId="20" fillId="0" borderId="0" xfId="0" applyFont="1" applyAlignment="1">
      <alignment vertical="center" wrapText="1"/>
    </xf>
    <xf numFmtId="0" fontId="19" fillId="0" borderId="0" xfId="0" applyFont="1" applyAlignment="1">
      <alignment vertical="center" wrapText="1"/>
    </xf>
    <xf numFmtId="175" fontId="11" fillId="0" borderId="0" xfId="0" applyNumberFormat="1" applyFont="1" applyAlignment="1">
      <alignment vertical="center"/>
    </xf>
    <xf numFmtId="0" fontId="2" fillId="0" borderId="0" xfId="0" applyFont="1"/>
    <xf numFmtId="9" fontId="2" fillId="0" borderId="0" xfId="0" applyNumberFormat="1" applyFont="1" applyAlignment="1">
      <alignment wrapText="1"/>
    </xf>
    <xf numFmtId="169" fontId="3" fillId="0" borderId="0" xfId="0" applyNumberFormat="1" applyFont="1" applyAlignment="1">
      <alignment vertical="center"/>
    </xf>
    <xf numFmtId="172" fontId="3" fillId="0" borderId="0" xfId="0" applyNumberFormat="1" applyFont="1" applyAlignment="1">
      <alignment vertical="center" wrapText="1"/>
    </xf>
    <xf numFmtId="164" fontId="3" fillId="0" borderId="0" xfId="0" applyNumberFormat="1" applyFont="1" applyAlignment="1">
      <alignment horizontal="left" wrapText="1"/>
    </xf>
    <xf numFmtId="0" fontId="2" fillId="0" borderId="0" xfId="0" applyFont="1" applyAlignment="1">
      <alignment wrapText="1"/>
    </xf>
    <xf numFmtId="165" fontId="13" fillId="0" borderId="0" xfId="0" applyNumberFormat="1" applyFont="1"/>
    <xf numFmtId="164" fontId="2" fillId="0" borderId="0" xfId="0" applyNumberFormat="1" applyFont="1" applyAlignment="1">
      <alignment wrapText="1"/>
    </xf>
    <xf numFmtId="167" fontId="2" fillId="0" borderId="0" xfId="0" applyNumberFormat="1" applyFont="1" applyAlignment="1">
      <alignment wrapText="1"/>
    </xf>
    <xf numFmtId="0" fontId="21" fillId="0" borderId="0" xfId="0" applyFont="1" applyAlignment="1">
      <alignment vertical="center"/>
    </xf>
    <xf numFmtId="172" fontId="11" fillId="0" borderId="0" xfId="0" applyNumberFormat="1" applyFont="1" applyAlignment="1">
      <alignment vertical="center" wrapText="1"/>
    </xf>
    <xf numFmtId="0" fontId="22" fillId="0" borderId="9" xfId="0" applyFont="1" applyBorder="1" applyAlignment="1">
      <alignment vertical="center"/>
    </xf>
    <xf numFmtId="0" fontId="23" fillId="0" borderId="10" xfId="0" applyFont="1" applyBorder="1" applyAlignment="1">
      <alignment vertical="center"/>
    </xf>
    <xf numFmtId="0" fontId="24" fillId="0" borderId="0" xfId="0" applyFont="1" applyAlignment="1">
      <alignment vertical="center"/>
    </xf>
    <xf numFmtId="0" fontId="16" fillId="2" borderId="4" xfId="0" applyFont="1" applyFill="1" applyBorder="1"/>
    <xf numFmtId="0" fontId="16" fillId="2" borderId="5" xfId="0" applyFont="1" applyFill="1" applyBorder="1" applyAlignment="1">
      <alignment wrapText="1"/>
    </xf>
    <xf numFmtId="0" fontId="25" fillId="0" borderId="0" xfId="0" applyFont="1"/>
    <xf numFmtId="9" fontId="16" fillId="2" borderId="5" xfId="1" applyFont="1" applyFill="1" applyBorder="1" applyAlignment="1">
      <alignment wrapText="1"/>
    </xf>
    <xf numFmtId="0" fontId="25" fillId="0" borderId="0" xfId="0" applyFont="1" applyAlignment="1">
      <alignment wrapText="1"/>
    </xf>
    <xf numFmtId="9" fontId="2" fillId="0" borderId="0" xfId="1" applyFont="1" applyAlignment="1">
      <alignment vertical="center" wrapText="1"/>
    </xf>
    <xf numFmtId="171" fontId="2" fillId="0" borderId="0" xfId="0" applyNumberFormat="1" applyFont="1"/>
    <xf numFmtId="176" fontId="0" fillId="0" borderId="0" xfId="0" applyNumberFormat="1"/>
    <xf numFmtId="167" fontId="13" fillId="0" borderId="0" xfId="0" applyNumberFormat="1" applyFont="1" applyAlignment="1">
      <alignment vertical="center" wrapText="1"/>
    </xf>
    <xf numFmtId="9" fontId="3" fillId="0" borderId="0" xfId="1" applyFont="1" applyFill="1" applyAlignment="1">
      <alignment vertical="center" wrapText="1"/>
    </xf>
    <xf numFmtId="9" fontId="2" fillId="0" borderId="0" xfId="1" applyFont="1" applyFill="1" applyAlignment="1">
      <alignment vertical="center" wrapText="1"/>
    </xf>
    <xf numFmtId="177" fontId="0" fillId="0" borderId="0" xfId="2" applyNumberFormat="1" applyFont="1"/>
    <xf numFmtId="177" fontId="0" fillId="0" borderId="0" xfId="0" applyNumberFormat="1"/>
    <xf numFmtId="9" fontId="0" fillId="0" borderId="0" xfId="1" applyFont="1"/>
    <xf numFmtId="165" fontId="14" fillId="0" borderId="0" xfId="0" applyNumberFormat="1" applyFont="1" applyAlignment="1">
      <alignment vertical="center"/>
    </xf>
    <xf numFmtId="166" fontId="7" fillId="0" borderId="0" xfId="0" applyNumberFormat="1" applyFont="1" applyAlignment="1">
      <alignment vertical="center"/>
    </xf>
    <xf numFmtId="166" fontId="28" fillId="0" borderId="0" xfId="0" applyNumberFormat="1" applyFont="1" applyAlignment="1">
      <alignment vertical="center"/>
    </xf>
    <xf numFmtId="166" fontId="28" fillId="0" borderId="0" xfId="0" applyNumberFormat="1" applyFont="1"/>
    <xf numFmtId="0" fontId="28" fillId="0" borderId="0" xfId="0" applyFont="1" applyAlignment="1">
      <alignment vertical="center"/>
    </xf>
    <xf numFmtId="0" fontId="18" fillId="0" borderId="0" xfId="0" applyFont="1" applyAlignment="1">
      <alignment wrapText="1"/>
    </xf>
    <xf numFmtId="166" fontId="18" fillId="0" borderId="0" xfId="0" applyNumberFormat="1" applyFont="1"/>
    <xf numFmtId="0" fontId="29" fillId="0" borderId="0" xfId="0" applyFont="1"/>
    <xf numFmtId="9" fontId="13" fillId="0" borderId="0" xfId="1" applyFont="1" applyAlignment="1">
      <alignment vertical="center" wrapText="1"/>
    </xf>
    <xf numFmtId="0" fontId="3" fillId="3" borderId="0" xfId="0" applyFont="1" applyFill="1" applyAlignment="1">
      <alignment wrapText="1"/>
    </xf>
    <xf numFmtId="0" fontId="32" fillId="0" borderId="15" xfId="0" applyFont="1" applyBorder="1" applyAlignment="1">
      <alignment vertical="center" wrapText="1"/>
    </xf>
    <xf numFmtId="0" fontId="32" fillId="0" borderId="16" xfId="0" applyFont="1" applyBorder="1" applyAlignment="1">
      <alignment vertical="center" wrapText="1"/>
    </xf>
    <xf numFmtId="0" fontId="33" fillId="0" borderId="15" xfId="0" applyFont="1" applyBorder="1" applyAlignment="1">
      <alignment vertical="center" wrapText="1"/>
    </xf>
    <xf numFmtId="0" fontId="33" fillId="0" borderId="16" xfId="0" applyFont="1" applyBorder="1" applyAlignment="1">
      <alignment horizontal="right" vertical="center" wrapText="1"/>
    </xf>
    <xf numFmtId="3" fontId="33" fillId="0" borderId="16" xfId="0" applyNumberFormat="1" applyFont="1" applyBorder="1" applyAlignment="1">
      <alignment horizontal="right" vertical="center" wrapText="1"/>
    </xf>
    <xf numFmtId="0" fontId="32" fillId="0" borderId="16" xfId="0" applyFont="1" applyBorder="1" applyAlignment="1">
      <alignment horizontal="right" vertical="center" wrapText="1"/>
    </xf>
    <xf numFmtId="0" fontId="34" fillId="0" borderId="15" xfId="0" applyFont="1" applyBorder="1" applyAlignment="1">
      <alignment vertical="center" wrapText="1"/>
    </xf>
    <xf numFmtId="177" fontId="34" fillId="0" borderId="16" xfId="2" applyNumberFormat="1" applyFont="1" applyBorder="1" applyAlignment="1">
      <alignment horizontal="right" vertical="center" wrapText="1"/>
    </xf>
    <xf numFmtId="0" fontId="30" fillId="0" borderId="18" xfId="3" applyBorder="1" applyAlignment="1">
      <alignment horizontal="right" vertical="center" wrapText="1" indent="1"/>
    </xf>
    <xf numFmtId="0" fontId="30" fillId="0" borderId="16" xfId="3" applyBorder="1" applyAlignment="1">
      <alignment horizontal="right" vertical="center" wrapText="1" indent="1"/>
    </xf>
    <xf numFmtId="3" fontId="32" fillId="0" borderId="16" xfId="0" applyNumberFormat="1" applyFont="1" applyBorder="1" applyAlignment="1">
      <alignment horizontal="right" vertical="center" wrapText="1"/>
    </xf>
    <xf numFmtId="0" fontId="35" fillId="0" borderId="15" xfId="0" applyFont="1" applyBorder="1" applyAlignment="1">
      <alignment vertical="center" wrapText="1"/>
    </xf>
    <xf numFmtId="177" fontId="35" fillId="0" borderId="16" xfId="0" applyNumberFormat="1" applyFont="1" applyBorder="1" applyAlignment="1">
      <alignment horizontal="right" vertical="center" wrapText="1"/>
    </xf>
    <xf numFmtId="0" fontId="2" fillId="0" borderId="0" xfId="0" applyFont="1" applyAlignment="1">
      <alignment horizontal="center"/>
    </xf>
    <xf numFmtId="164" fontId="3" fillId="0" borderId="11" xfId="0" applyNumberFormat="1" applyFont="1" applyBorder="1" applyAlignment="1">
      <alignment vertical="center" wrapText="1"/>
    </xf>
    <xf numFmtId="0" fontId="3" fillId="0" borderId="11" xfId="0" applyFont="1" applyBorder="1" applyAlignment="1">
      <alignment vertical="center" wrapText="1"/>
    </xf>
    <xf numFmtId="167" fontId="3" fillId="0" borderId="11" xfId="0" applyNumberFormat="1" applyFont="1" applyBorder="1" applyAlignment="1">
      <alignment vertical="center" wrapText="1"/>
    </xf>
    <xf numFmtId="0" fontId="3" fillId="4" borderId="11" xfId="0" applyFont="1" applyFill="1" applyBorder="1" applyAlignment="1">
      <alignment vertical="center" wrapText="1"/>
    </xf>
    <xf numFmtId="0" fontId="0" fillId="0" borderId="0" xfId="0" pivotButton="1"/>
    <xf numFmtId="165" fontId="0" fillId="0" borderId="0" xfId="0" applyNumberFormat="1"/>
    <xf numFmtId="0" fontId="0" fillId="0" borderId="25" xfId="0" applyBorder="1"/>
    <xf numFmtId="177" fontId="0" fillId="0" borderId="0" xfId="2" applyNumberFormat="1" applyFont="1" applyBorder="1"/>
    <xf numFmtId="177" fontId="0" fillId="0" borderId="18" xfId="2" applyNumberFormat="1" applyFont="1" applyBorder="1"/>
    <xf numFmtId="0" fontId="0" fillId="0" borderId="26" xfId="0" applyBorder="1"/>
    <xf numFmtId="177" fontId="0" fillId="0" borderId="27" xfId="2" applyNumberFormat="1" applyFont="1" applyBorder="1"/>
    <xf numFmtId="177" fontId="0" fillId="0" borderId="28" xfId="2" applyNumberFormat="1" applyFont="1" applyBorder="1"/>
    <xf numFmtId="0" fontId="37" fillId="7" borderId="29" xfId="0" applyFont="1" applyFill="1" applyBorder="1" applyAlignment="1">
      <alignment horizontal="center"/>
    </xf>
    <xf numFmtId="0" fontId="37" fillId="7" borderId="30" xfId="0" applyFont="1" applyFill="1" applyBorder="1" applyAlignment="1">
      <alignment horizontal="center"/>
    </xf>
    <xf numFmtId="0" fontId="37" fillId="7" borderId="31" xfId="0" applyFont="1" applyFill="1" applyBorder="1" applyAlignment="1">
      <alignment horizontal="center"/>
    </xf>
    <xf numFmtId="0" fontId="37" fillId="7" borderId="23" xfId="0" applyFont="1" applyFill="1" applyBorder="1"/>
    <xf numFmtId="177" fontId="37" fillId="7" borderId="24" xfId="2" applyNumberFormat="1" applyFont="1" applyFill="1" applyBorder="1"/>
    <xf numFmtId="177" fontId="37" fillId="7" borderId="16" xfId="2" applyNumberFormat="1" applyFont="1" applyFill="1" applyBorder="1"/>
    <xf numFmtId="14" fontId="0" fillId="0" borderId="0" xfId="0" applyNumberFormat="1"/>
    <xf numFmtId="0" fontId="37" fillId="7" borderId="38" xfId="0" applyFont="1" applyFill="1" applyBorder="1" applyAlignment="1">
      <alignment horizontal="center"/>
    </xf>
    <xf numFmtId="0" fontId="37" fillId="7" borderId="39" xfId="0" applyFont="1" applyFill="1" applyBorder="1" applyAlignment="1">
      <alignment horizontal="center"/>
    </xf>
    <xf numFmtId="0" fontId="37" fillId="7" borderId="40" xfId="0" applyFont="1" applyFill="1" applyBorder="1" applyAlignment="1">
      <alignment horizontal="center"/>
    </xf>
    <xf numFmtId="0" fontId="37" fillId="0" borderId="23" xfId="0" applyFont="1" applyBorder="1" applyAlignment="1">
      <alignment horizontal="right"/>
    </xf>
    <xf numFmtId="177" fontId="37" fillId="0" borderId="24" xfId="2" applyNumberFormat="1" applyFont="1" applyBorder="1"/>
    <xf numFmtId="177" fontId="37" fillId="0" borderId="16" xfId="2" applyNumberFormat="1" applyFont="1" applyBorder="1"/>
    <xf numFmtId="177" fontId="32" fillId="0" borderId="16" xfId="2" applyNumberFormat="1" applyFont="1" applyBorder="1" applyAlignment="1">
      <alignment horizontal="right" vertical="center" wrapText="1"/>
    </xf>
    <xf numFmtId="0" fontId="19" fillId="0" borderId="41" xfId="0" applyFont="1" applyBorder="1" applyAlignment="1">
      <alignment vertical="center" wrapText="1"/>
    </xf>
    <xf numFmtId="0" fontId="3" fillId="0" borderId="35" xfId="0" applyFont="1" applyBorder="1" applyAlignment="1">
      <alignment horizontal="left" vertical="top" wrapText="1" indent="1"/>
    </xf>
    <xf numFmtId="0" fontId="3" fillId="0" borderId="36" xfId="0" applyFont="1" applyBorder="1" applyAlignment="1">
      <alignment horizontal="left" vertical="top" wrapText="1" indent="1"/>
    </xf>
    <xf numFmtId="0" fontId="3" fillId="0" borderId="37" xfId="0" applyFont="1" applyBorder="1" applyAlignment="1">
      <alignment horizontal="left" vertical="top" wrapText="1" indent="1"/>
    </xf>
    <xf numFmtId="0" fontId="3" fillId="0" borderId="25" xfId="0" applyFont="1" applyBorder="1" applyAlignment="1">
      <alignment horizontal="left" vertical="top" wrapText="1" indent="1"/>
    </xf>
    <xf numFmtId="0" fontId="3" fillId="0" borderId="0" xfId="0" applyFont="1" applyAlignment="1">
      <alignment horizontal="left" vertical="top" wrapText="1" indent="1"/>
    </xf>
    <xf numFmtId="0" fontId="3" fillId="0" borderId="18" xfId="0" applyFont="1" applyBorder="1" applyAlignment="1">
      <alignment horizontal="left" vertical="top" wrapText="1" indent="1"/>
    </xf>
    <xf numFmtId="0" fontId="3" fillId="0" borderId="32" xfId="0" applyFont="1" applyBorder="1" applyAlignment="1">
      <alignment horizontal="left" vertical="top" wrapText="1" indent="1"/>
    </xf>
    <xf numFmtId="0" fontId="3" fillId="0" borderId="33" xfId="0" applyFont="1" applyBorder="1" applyAlignment="1">
      <alignment horizontal="left" vertical="top" wrapText="1" indent="1"/>
    </xf>
    <xf numFmtId="0" fontId="3" fillId="0" borderId="34" xfId="0" applyFont="1" applyBorder="1" applyAlignment="1">
      <alignment horizontal="left" vertical="top" wrapText="1" inden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3" fillId="0" borderId="25"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37" fillId="6" borderId="20"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6" borderId="22" xfId="0" applyFont="1" applyFill="1" applyBorder="1" applyAlignment="1">
      <alignment horizontal="center" vertical="center" wrapText="1"/>
    </xf>
    <xf numFmtId="0" fontId="37" fillId="6" borderId="23" xfId="0" applyFont="1" applyFill="1" applyBorder="1" applyAlignment="1">
      <alignment horizontal="center" vertical="center" wrapText="1"/>
    </xf>
    <xf numFmtId="0" fontId="37" fillId="6" borderId="24"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20" xfId="0" applyFont="1" applyBorder="1" applyAlignment="1">
      <alignment horizontal="left" wrapText="1"/>
    </xf>
    <xf numFmtId="0" fontId="3" fillId="0" borderId="21" xfId="0" applyFont="1" applyBorder="1" applyAlignment="1">
      <alignment horizontal="left" wrapText="1"/>
    </xf>
    <xf numFmtId="0" fontId="3" fillId="0" borderId="22" xfId="0" applyFont="1" applyBorder="1" applyAlignment="1">
      <alignment horizontal="left" wrapText="1"/>
    </xf>
    <xf numFmtId="0" fontId="3" fillId="0" borderId="25" xfId="0" applyFont="1" applyBorder="1" applyAlignment="1">
      <alignment horizontal="left" wrapText="1"/>
    </xf>
    <xf numFmtId="0" fontId="3" fillId="0" borderId="0" xfId="0" applyFont="1" applyAlignment="1">
      <alignment horizontal="left" wrapText="1"/>
    </xf>
    <xf numFmtId="0" fontId="3" fillId="0" borderId="18" xfId="0" applyFont="1" applyBorder="1" applyAlignment="1">
      <alignment horizontal="left" wrapText="1"/>
    </xf>
    <xf numFmtId="0" fontId="3" fillId="0" borderId="32" xfId="0" applyFont="1" applyBorder="1" applyAlignment="1">
      <alignment horizontal="left" wrapText="1"/>
    </xf>
    <xf numFmtId="0" fontId="3" fillId="0" borderId="33" xfId="0" applyFont="1" applyBorder="1" applyAlignment="1">
      <alignment horizontal="left" wrapText="1"/>
    </xf>
    <xf numFmtId="0" fontId="3" fillId="0" borderId="34" xfId="0" applyFont="1" applyBorder="1" applyAlignment="1">
      <alignment horizontal="left" wrapText="1"/>
    </xf>
    <xf numFmtId="0" fontId="3" fillId="0" borderId="23" xfId="0" applyFont="1" applyBorder="1" applyAlignment="1">
      <alignment horizontal="left" vertical="top" wrapText="1" indent="1"/>
    </xf>
    <xf numFmtId="0" fontId="3" fillId="0" borderId="24" xfId="0" applyFont="1" applyBorder="1" applyAlignment="1">
      <alignment horizontal="left" vertical="top" wrapText="1" indent="1"/>
    </xf>
    <xf numFmtId="0" fontId="3" fillId="0" borderId="16" xfId="0" applyFont="1" applyBorder="1" applyAlignment="1">
      <alignment horizontal="left" vertical="top" wrapText="1" indent="1"/>
    </xf>
    <xf numFmtId="0" fontId="3" fillId="0" borderId="35" xfId="0" applyFont="1" applyBorder="1" applyAlignment="1">
      <alignment horizontal="left" vertical="top" wrapText="1" indent="2"/>
    </xf>
    <xf numFmtId="0" fontId="3" fillId="0" borderId="36" xfId="0" applyFont="1" applyBorder="1" applyAlignment="1">
      <alignment horizontal="left" vertical="top" wrapText="1" indent="2"/>
    </xf>
    <xf numFmtId="0" fontId="3" fillId="0" borderId="37" xfId="0" applyFont="1" applyBorder="1" applyAlignment="1">
      <alignment horizontal="left" vertical="top" wrapText="1" indent="2"/>
    </xf>
    <xf numFmtId="0" fontId="3" fillId="0" borderId="25" xfId="0" applyFont="1" applyBorder="1" applyAlignment="1">
      <alignment horizontal="left" vertical="top" wrapText="1" indent="2"/>
    </xf>
    <xf numFmtId="0" fontId="3" fillId="0" borderId="0" xfId="0" applyFont="1" applyAlignment="1">
      <alignment horizontal="left" vertical="top" wrapText="1" indent="2"/>
    </xf>
    <xf numFmtId="0" fontId="3" fillId="0" borderId="18" xfId="0" applyFont="1" applyBorder="1" applyAlignment="1">
      <alignment horizontal="left" vertical="top" wrapText="1" indent="2"/>
    </xf>
    <xf numFmtId="0" fontId="3" fillId="0" borderId="32" xfId="0" applyFont="1" applyBorder="1" applyAlignment="1">
      <alignment horizontal="left" vertical="top" wrapText="1" indent="2"/>
    </xf>
    <xf numFmtId="0" fontId="3" fillId="0" borderId="33" xfId="0" applyFont="1" applyBorder="1" applyAlignment="1">
      <alignment horizontal="left" vertical="top" wrapText="1" indent="2"/>
    </xf>
    <xf numFmtId="0" fontId="3" fillId="0" borderId="34" xfId="0" applyFont="1" applyBorder="1" applyAlignment="1">
      <alignment horizontal="left" vertical="top" wrapText="1" indent="2"/>
    </xf>
    <xf numFmtId="0" fontId="3" fillId="0" borderId="35" xfId="0" applyFont="1" applyBorder="1" applyAlignment="1">
      <alignment horizontal="left" vertical="top" wrapText="1" indent="3"/>
    </xf>
    <xf numFmtId="0" fontId="3" fillId="0" borderId="36" xfId="0" applyFont="1" applyBorder="1" applyAlignment="1">
      <alignment horizontal="left" vertical="top" wrapText="1" indent="3"/>
    </xf>
    <xf numFmtId="0" fontId="3" fillId="0" borderId="37" xfId="0" applyFont="1" applyBorder="1" applyAlignment="1">
      <alignment horizontal="left" vertical="top" wrapText="1" indent="3"/>
    </xf>
    <xf numFmtId="0" fontId="3" fillId="0" borderId="25" xfId="0" applyFont="1" applyBorder="1" applyAlignment="1">
      <alignment horizontal="left" vertical="top" wrapText="1" indent="3"/>
    </xf>
    <xf numFmtId="0" fontId="3" fillId="0" borderId="0" xfId="0" applyFont="1" applyAlignment="1">
      <alignment horizontal="left" vertical="top" wrapText="1" indent="3"/>
    </xf>
    <xf numFmtId="0" fontId="3" fillId="0" borderId="18" xfId="0" applyFont="1" applyBorder="1" applyAlignment="1">
      <alignment horizontal="left" vertical="top" wrapText="1" indent="3"/>
    </xf>
    <xf numFmtId="0" fontId="3" fillId="0" borderId="32" xfId="0" applyFont="1" applyBorder="1" applyAlignment="1">
      <alignment horizontal="left" vertical="top" wrapText="1" indent="3"/>
    </xf>
    <xf numFmtId="0" fontId="3" fillId="0" borderId="33" xfId="0" applyFont="1" applyBorder="1" applyAlignment="1">
      <alignment horizontal="left" vertical="top" wrapText="1" indent="3"/>
    </xf>
    <xf numFmtId="0" fontId="3" fillId="0" borderId="34" xfId="0" applyFont="1" applyBorder="1" applyAlignment="1">
      <alignment horizontal="left" vertical="top" wrapText="1" indent="3"/>
    </xf>
    <xf numFmtId="0" fontId="3" fillId="0" borderId="0" xfId="0" applyFont="1" applyAlignment="1">
      <alignment horizontal="left" vertical="center" wrapText="1"/>
    </xf>
    <xf numFmtId="0" fontId="26"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2" fillId="5" borderId="12" xfId="0" applyFont="1" applyFill="1" applyBorder="1" applyAlignment="1">
      <alignment horizontal="right" vertical="center" wrapText="1"/>
    </xf>
    <xf numFmtId="0" fontId="32" fillId="5" borderId="13" xfId="0" applyFont="1" applyFill="1" applyBorder="1" applyAlignment="1">
      <alignment horizontal="right" vertical="center" wrapText="1"/>
    </xf>
    <xf numFmtId="0" fontId="32" fillId="5" borderId="14" xfId="0" applyFont="1" applyFill="1" applyBorder="1" applyAlignment="1">
      <alignment horizontal="right" vertical="center" wrapText="1"/>
    </xf>
    <xf numFmtId="0" fontId="31" fillId="5" borderId="12" xfId="0" applyFont="1" applyFill="1" applyBorder="1" applyAlignment="1">
      <alignment horizontal="center" vertical="center" wrapText="1"/>
    </xf>
    <xf numFmtId="0" fontId="31" fillId="5" borderId="13"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33" fillId="0" borderId="17" xfId="0" applyFont="1" applyBorder="1" applyAlignment="1">
      <alignment vertical="center" wrapText="1"/>
    </xf>
    <xf numFmtId="0" fontId="33" fillId="0" borderId="19" xfId="0" applyFont="1" applyBorder="1" applyAlignment="1">
      <alignment vertical="center" wrapText="1"/>
    </xf>
    <xf numFmtId="0" fontId="33" fillId="0" borderId="15" xfId="0" applyFont="1" applyBorder="1" applyAlignment="1">
      <alignment vertical="center" wrapText="1"/>
    </xf>
    <xf numFmtId="0" fontId="33" fillId="0" borderId="17" xfId="0" applyFont="1" applyBorder="1" applyAlignment="1">
      <alignment horizontal="right" vertical="center" wrapText="1"/>
    </xf>
    <xf numFmtId="0" fontId="33" fillId="0" borderId="19" xfId="0" applyFont="1" applyBorder="1" applyAlignment="1">
      <alignment horizontal="right" vertical="center" wrapText="1"/>
    </xf>
    <xf numFmtId="0" fontId="33" fillId="0" borderId="15" xfId="0" applyFont="1" applyBorder="1" applyAlignment="1">
      <alignment horizontal="right" vertical="center" wrapText="1"/>
    </xf>
    <xf numFmtId="0" fontId="30" fillId="0" borderId="17" xfId="3" applyBorder="1" applyAlignment="1">
      <alignment horizontal="right" vertical="center" wrapText="1"/>
    </xf>
    <xf numFmtId="0" fontId="30" fillId="0" borderId="19" xfId="3" applyBorder="1" applyAlignment="1">
      <alignment horizontal="right" vertical="center" wrapText="1"/>
    </xf>
    <xf numFmtId="0" fontId="30" fillId="0" borderId="15" xfId="3" applyBorder="1" applyAlignment="1">
      <alignment horizontal="right" vertical="center" wrapText="1"/>
    </xf>
    <xf numFmtId="3" fontId="32" fillId="0" borderId="17" xfId="0" applyNumberFormat="1" applyFont="1" applyBorder="1" applyAlignment="1">
      <alignment horizontal="right" vertical="center" wrapText="1"/>
    </xf>
    <xf numFmtId="3" fontId="32" fillId="0" borderId="19" xfId="0" applyNumberFormat="1" applyFont="1" applyBorder="1" applyAlignment="1">
      <alignment horizontal="right" vertical="center" wrapText="1"/>
    </xf>
    <xf numFmtId="3" fontId="32" fillId="0" borderId="15" xfId="0" applyNumberFormat="1" applyFont="1" applyBorder="1" applyAlignment="1">
      <alignment horizontal="right" vertical="center" wrapText="1"/>
    </xf>
  </cellXfs>
  <cellStyles count="4">
    <cellStyle name="Comma" xfId="2" builtinId="3"/>
    <cellStyle name="Hyperlink" xfId="3" builtinId="8"/>
    <cellStyle name="Normal" xfId="0" builtinId="0"/>
    <cellStyle name="Per cent" xfId="1" builtinId="5"/>
  </cellStyles>
  <dxfs count="323">
    <dxf>
      <font>
        <b/>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border diagonalUp="0" diagonalDown="0" outline="0">
        <left style="medium">
          <color rgb="FFBDD6EE"/>
        </left>
        <right style="medium">
          <color rgb="FFBDD6EE"/>
        </right>
        <top/>
        <bottom style="medium">
          <color rgb="FFBDD6EE"/>
        </bottom>
      </border>
    </dxf>
    <dxf>
      <border outline="0">
        <bottom style="medium">
          <color rgb="FFBDD6EE"/>
        </bottom>
      </border>
    </dxf>
    <dxf>
      <font>
        <b/>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i val="0"/>
        <strike val="0"/>
        <condense val="0"/>
        <extend val="0"/>
        <outline val="0"/>
        <shadow val="0"/>
        <u val="none"/>
        <vertAlign val="baseline"/>
        <sz val="10.5"/>
        <color rgb="FF000000"/>
        <name val="Calibri"/>
        <family val="2"/>
        <scheme val="none"/>
      </font>
      <alignment horizontal="general" vertical="center" textRotation="0" wrapText="0" indent="0" justifyLastLine="0" shrinkToFit="0" readingOrder="0"/>
      <border diagonalUp="0" diagonalDown="0" outline="0">
        <left style="medium">
          <color rgb="FFBDD6EE"/>
        </left>
        <right style="medium">
          <color rgb="FFBDD6EE"/>
        </right>
        <top/>
        <bottom/>
      </border>
    </dxf>
    <dxf>
      <border outline="0">
        <bottom style="medium">
          <color rgb="FFBDD6EE"/>
        </bottom>
      </border>
    </dxf>
    <dxf>
      <font>
        <b/>
        <i val="0"/>
        <strike val="0"/>
        <condense val="0"/>
        <extend val="0"/>
        <outline val="0"/>
        <shadow val="0"/>
        <u val="none"/>
        <vertAlign val="baseline"/>
        <sz val="10.5"/>
        <color rgb="FF000000"/>
        <name val="Calibri"/>
        <family val="2"/>
        <scheme val="none"/>
      </font>
      <alignment horizontal="general" vertical="center"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border diagonalUp="0" diagonalDown="0" outline="0">
        <left style="medium">
          <color rgb="FFBDD6EE"/>
        </left>
        <right style="medium">
          <color rgb="FFBDD6EE"/>
        </right>
        <top/>
        <bottom style="medium">
          <color rgb="FFBDD6EE"/>
        </bottom>
      </border>
    </dxf>
    <dxf>
      <border outline="0">
        <bottom style="medium">
          <color rgb="FFBDD6EE"/>
        </bottom>
      </border>
    </dxf>
    <dxf>
      <font>
        <b/>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border outline="0">
        <bottom style="medium">
          <color rgb="FFBDD6EE"/>
        </bottom>
      </border>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border outline="0">
        <bottom style="medium">
          <color rgb="FFBDD6EE"/>
        </bottom>
      </border>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5"/>
        <color theme="1"/>
        <name val="Calibri"/>
        <family val="2"/>
        <scheme val="none"/>
      </font>
      <alignment horizontal="general" vertical="center" textRotation="0" wrapText="0" indent="0" justifyLastLine="0" shrinkToFit="0" readingOrder="0"/>
    </dxf>
    <dxf>
      <border outline="0">
        <bottom style="thin">
          <color indexed="64"/>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7" formatCode="[$-F800]dddd\,\ mmmm\ dd\,\ yyyy"/>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7" formatCode="[$-F800]dddd\,\ mmmm\ dd\,\ yyyy"/>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numFmt numFmtId="167" formatCode="[$-F800]dddd\,\ mmmm\ dd\,\ yyyy"/>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3" formatCode="0%"/>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fill>
        <patternFill patternType="solid">
          <fgColor theme="4" tint="0.79998168889431442"/>
          <bgColor theme="4" tint="0.79998168889431442"/>
        </patternFill>
      </fill>
      <alignment vertical="center" textRotation="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70C0"/>
        <name val="Calibri"/>
        <family val="2"/>
        <scheme val="minor"/>
      </font>
      <numFmt numFmtId="165" formatCode="_-[$R-1C09]* #,##0_-;\-[$R-1C09]* #,##0_-;_-[$R-1C09]* &quot;-&quot;??_-;_-@_-"/>
    </dxf>
    <dxf>
      <font>
        <b val="0"/>
        <i val="0"/>
        <strike val="0"/>
        <condense val="0"/>
        <extend val="0"/>
        <outline val="0"/>
        <shadow val="0"/>
        <u val="none"/>
        <vertAlign val="baseline"/>
        <sz val="11"/>
        <color rgb="FF0070C0"/>
        <name val="Calibri (Body)"/>
        <scheme val="none"/>
      </font>
      <numFmt numFmtId="165" formatCode="_-[$R-1C09]* #,##0_-;\-[$R-1C09]* #,##0_-;_-[$R-1C09]* &quot;-&quot;??_-;_-@_-"/>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0070C0"/>
        <name val="Calibri"/>
        <family val="2"/>
        <scheme val="minor"/>
      </font>
      <numFmt numFmtId="173" formatCode="[$CHF-807]\ #,##0;[$CHF-807]\ \-#,##0"/>
    </dxf>
    <dxf>
      <font>
        <strike val="0"/>
        <outline val="0"/>
        <shadow val="0"/>
        <vertAlign val="baseline"/>
        <sz val="11"/>
        <color rgb="FF0070C0"/>
      </font>
    </dxf>
    <dxf>
      <font>
        <b val="0"/>
        <i val="0"/>
        <strike val="0"/>
        <condense val="0"/>
        <extend val="0"/>
        <outline val="0"/>
        <shadow val="0"/>
        <u val="none"/>
        <vertAlign val="baseline"/>
        <sz val="11"/>
        <color rgb="FF0070C0"/>
        <name val="Calibri"/>
        <family val="2"/>
        <scheme val="minor"/>
      </font>
      <numFmt numFmtId="174" formatCode="_([$$-409]* #,##0_);_([$$-409]* \(#,##0\);_([$$-409]* &quot;-&quot;??_);_(@_)"/>
    </dxf>
    <dxf>
      <font>
        <b val="0"/>
        <i val="0"/>
        <strike val="0"/>
        <condense val="0"/>
        <extend val="0"/>
        <outline val="0"/>
        <shadow val="0"/>
        <u val="none"/>
        <vertAlign val="baseline"/>
        <sz val="11"/>
        <color rgb="FF0070C0"/>
        <name val="Calibri (Body)"/>
        <scheme val="none"/>
      </font>
      <numFmt numFmtId="166" formatCode="_-[$$-409]* #,##0_ ;_-[$$-409]* \-#,##0\ ;_-[$$-409]* &quot;-&quot;??_ ;_-@_ "/>
      <fill>
        <patternFill patternType="solid">
          <fgColor theme="4" tint="0.79998168889431442"/>
          <bgColor theme="4" tint="0.79998168889431442"/>
        </patternFill>
      </fill>
      <border diagonalUp="0" diagonalDown="0" outline="0">
        <left/>
        <right/>
        <top style="thin">
          <color theme="4" tint="0.39997558519241921"/>
        </top>
        <bottom/>
      </border>
    </dxf>
    <dxf>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family val="2"/>
        <scheme val="minor"/>
      </font>
      <fill>
        <patternFill patternType="solid">
          <fgColor theme="4" tint="0.79998168889431442"/>
          <bgColor theme="4" tint="0.79998168889431442"/>
        </patternFill>
      </fill>
      <border diagonalUp="0" diagonalDown="0" outline="0">
        <left/>
        <right/>
        <top style="thin">
          <color theme="4" tint="0.39997558519241921"/>
        </top>
        <bottom/>
      </border>
    </dxf>
    <dxf>
      <font>
        <b/>
        <i val="0"/>
        <strike val="0"/>
        <condense val="0"/>
        <extend val="0"/>
        <outline val="0"/>
        <shadow val="0"/>
        <u val="none"/>
        <vertAlign val="baseline"/>
        <sz val="11"/>
        <color rgb="FF0070C0"/>
        <name val="Calibri"/>
        <family val="2"/>
        <scheme val="minor"/>
      </font>
      <fill>
        <patternFill patternType="solid">
          <fgColor theme="4" tint="0.79998168889431442"/>
          <bgColor theme="4" tint="0.79998168889431442"/>
        </patternFill>
      </fill>
      <border diagonalUp="0" diagonalDown="0" outline="0">
        <left/>
        <right/>
        <top style="thin">
          <color theme="4" tint="0.39997558519241921"/>
        </top>
        <bottom/>
      </border>
    </dxf>
    <dxf>
      <border outline="0">
        <top style="thin">
          <color theme="4" tint="0.39997558519241921"/>
        </top>
      </border>
    </dxf>
    <dxf>
      <alignment horizontal="general" vertical="bottom" textRotation="0" wrapText="1"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rgb="FF0070C0"/>
        <name val="Calibri (Body)"/>
        <scheme val="none"/>
      </font>
      <fill>
        <patternFill patternType="solid">
          <fgColor theme="4" tint="0.79998168889431442"/>
          <bgColor theme="4" tint="0.79998168889431442"/>
        </patternFill>
      </fill>
      <alignment horizontal="general" vertical="bottom"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bottom" textRotation="0" wrapText="1" indent="0" justifyLastLine="0" shrinkToFit="0" readingOrder="0"/>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numFmt numFmtId="170" formatCode="[$€-2]\ #,##0"/>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family val="2"/>
        <scheme val="minor"/>
      </font>
      <numFmt numFmtId="170" formatCode="[$€-2]\ #,##0"/>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fill>
        <patternFill patternType="solid">
          <fgColor indexed="64"/>
          <bgColor rgb="FF92D050"/>
        </patternFill>
      </fill>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numFmt numFmtId="169" formatCode="#,##0\ [$kr.-406]"/>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family val="2"/>
        <scheme val="minor"/>
      </font>
      <numFmt numFmtId="169" formatCode="#,##0\ [$kr.-406]"/>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7" formatCode="[$-F800]dddd\,\ mmmm\ dd\,\ yyyy"/>
      <alignment horizontal="general" vertical="bottom" textRotation="0" wrapText="1" indent="0" justifyLastLine="0" shrinkToFit="0" readingOrder="0"/>
    </dxf>
    <dxf>
      <font>
        <b/>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alignment horizontal="general" vertical="bottom"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b val="0"/>
        <i val="0"/>
        <strike val="0"/>
        <condense val="0"/>
        <extend val="0"/>
        <outline val="0"/>
        <shadow val="0"/>
        <u val="none"/>
        <vertAlign val="baseline"/>
        <sz val="11"/>
        <color rgb="FF0070C0"/>
        <name val="Calibri"/>
        <family val="2"/>
        <scheme val="minor"/>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numFmt numFmtId="167" formatCode="[$-F800]dddd\,\ mmmm\ dd\,\ yyyy"/>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dxf>
    <dxf>
      <font>
        <b val="0"/>
        <strike val="0"/>
        <outline val="0"/>
        <shadow val="0"/>
        <u val="none"/>
        <vertAlign val="baseline"/>
        <sz val="11"/>
        <color rgb="FF0070C0"/>
        <name val="Calibri"/>
        <family val="2"/>
        <scheme val="minor"/>
      </font>
      <alignment horizontal="general" vertical="center" textRotation="0" wrapText="0" indent="0" justifyLastLine="0" shrinkToFit="0" readingOrder="0"/>
    </dxf>
    <dxf>
      <font>
        <b/>
        <i val="0"/>
        <strike val="0"/>
        <condense val="0"/>
        <extend val="0"/>
        <outline val="0"/>
        <shadow val="0"/>
        <u val="none"/>
        <vertAlign val="baseline"/>
        <sz val="11"/>
        <color rgb="FF0070C0"/>
        <name val="Calibri"/>
        <family val="2"/>
        <scheme val="minor"/>
      </font>
      <numFmt numFmtId="165" formatCode="_-[$R-1C09]* #,##0_-;\-[$R-1C09]* #,##0_-;_-[$R-1C09]* &quot;-&quot;??_-;_-@_-"/>
    </dxf>
    <dxf>
      <font>
        <b val="0"/>
        <i val="0"/>
        <strike val="0"/>
        <condense val="0"/>
        <extend val="0"/>
        <outline val="0"/>
        <shadow val="0"/>
        <u val="none"/>
        <vertAlign val="baseline"/>
        <sz val="11"/>
        <color rgb="FF0070C0"/>
        <name val="Calibri"/>
        <family val="2"/>
        <scheme val="minor"/>
      </font>
      <numFmt numFmtId="165" formatCode="_-[$R-1C09]* #,##0_-;\-[$R-1C09]* #,##0_-;_-[$R-1C09]* &quot;-&quot;??_-;_-@_-"/>
      <fill>
        <patternFill patternType="none">
          <fgColor indexed="64"/>
          <bgColor auto="1"/>
        </patternFill>
      </fill>
      <alignment horizontal="general" vertical="center" textRotation="0" indent="0" justifyLastLine="0" shrinkToFit="0" readingOrder="0"/>
    </dxf>
    <dxf>
      <font>
        <b/>
        <i val="0"/>
        <strike val="0"/>
        <condense val="0"/>
        <extend val="0"/>
        <outline val="0"/>
        <shadow val="0"/>
        <u val="none"/>
        <vertAlign val="baseline"/>
        <sz val="11"/>
        <color rgb="FF0070C0"/>
        <name val="Calibri"/>
        <family val="2"/>
        <scheme val="minor"/>
      </font>
      <numFmt numFmtId="166" formatCode="_-[$$-409]* #,##0_ ;_-[$$-409]* \-#,##0\ ;_-[$$-409]* &quot;-&quot;??_ ;_-@_ "/>
    </dxf>
    <dxf>
      <font>
        <b val="0"/>
        <i val="0"/>
        <strike val="0"/>
        <condense val="0"/>
        <extend val="0"/>
        <outline val="0"/>
        <shadow val="0"/>
        <u val="none"/>
        <vertAlign val="baseline"/>
        <sz val="11"/>
        <color rgb="FF0070C0"/>
        <name val="Calibri"/>
        <family val="2"/>
        <scheme val="minor"/>
      </font>
      <numFmt numFmtId="166" formatCode="_-[$$-409]* #,##0_ ;_-[$$-409]* \-#,##0\ ;_-[$$-409]* &quot;-&quot;??_ ;_-@_ "/>
      <fill>
        <patternFill patternType="none">
          <fgColor indexed="64"/>
          <bgColor auto="1"/>
        </patternFill>
      </fill>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9"/>
        <name val="Calibri"/>
        <family val="2"/>
        <scheme val="minor"/>
      </font>
    </dxf>
    <dxf>
      <font>
        <b val="0"/>
        <strike val="0"/>
        <outline val="0"/>
        <shadow val="0"/>
        <u val="none"/>
        <vertAlign val="baseline"/>
        <sz val="11"/>
        <color rgb="FF0070C0"/>
        <name val="Calibri"/>
        <family val="2"/>
        <scheme val="minor"/>
      </font>
      <fill>
        <patternFill patternType="none">
          <fgColor indexed="64"/>
          <bgColor auto="1"/>
        </patternFill>
      </fill>
      <alignment horizontal="general" vertical="center" textRotation="0" wrapText="0" indent="0" justifyLastLine="0" shrinkToFit="0" readingOrder="0"/>
    </dxf>
    <dxf>
      <font>
        <b val="0"/>
        <strike val="0"/>
        <outline val="0"/>
        <shadow val="0"/>
        <u val="none"/>
        <vertAlign val="baseline"/>
        <sz val="11"/>
        <color rgb="FF0070C0"/>
        <name val="Calibri"/>
        <family val="2"/>
        <scheme val="minor"/>
      </font>
      <fill>
        <patternFill patternType="none">
          <fgColor indexed="64"/>
          <bgColor auto="1"/>
        </patternFill>
      </fill>
      <alignment horizontal="general" vertical="center" textRotation="0" wrapText="0" indent="0" justifyLastLine="0" shrinkToFit="0" readingOrder="0"/>
    </dxf>
    <dxf>
      <font>
        <strike val="0"/>
        <outline val="0"/>
        <shadow val="0"/>
        <vertAlign val="baseline"/>
        <sz val="11"/>
        <name val="Calibri"/>
        <family val="2"/>
        <scheme val="minor"/>
      </font>
    </dxf>
    <dxf>
      <border outline="0">
        <right style="thin">
          <color theme="4" tint="0.39997558519241921"/>
        </right>
      </border>
    </dxf>
    <dxf>
      <font>
        <strike val="0"/>
        <outline val="0"/>
        <shadow val="0"/>
        <vertAlign val="baseline"/>
        <sz val="11"/>
        <color rgb="FF0070C0"/>
        <name val="Calibri"/>
        <family val="2"/>
        <scheme val="minor"/>
      </font>
    </dxf>
    <dxf>
      <font>
        <strike val="0"/>
        <outline val="0"/>
        <shadow val="0"/>
        <vertAlign val="baseline"/>
        <sz val="11"/>
        <name val="Calibri"/>
        <family val="2"/>
        <scheme val="minor"/>
      </font>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70" formatCode="[$€-2]\ #,##0"/>
    </dxf>
    <dxf>
      <font>
        <b val="0"/>
        <i val="0"/>
        <strike val="0"/>
        <condense val="0"/>
        <extend val="0"/>
        <outline val="0"/>
        <shadow val="0"/>
        <u val="none"/>
        <vertAlign val="baseline"/>
        <sz val="11"/>
        <color rgb="FF0070C0"/>
        <name val="Calibri"/>
        <family val="2"/>
        <scheme val="minor"/>
      </font>
      <numFmt numFmtId="170" formatCode="[$€-2]\ #,##0"/>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6" formatCode="_-[$$-409]* #,##0_ ;_-[$$-409]* \-#,##0\ ;_-[$$-409]* &quot;-&quot;??_ ;_-@_ "/>
    </dxf>
    <dxf>
      <font>
        <b val="0"/>
        <i val="0"/>
        <strike val="0"/>
        <condense val="0"/>
        <extend val="0"/>
        <outline val="0"/>
        <shadow val="0"/>
        <u val="none"/>
        <vertAlign val="baseline"/>
        <sz val="11"/>
        <color rgb="FF0070C0"/>
        <name val="Calibri"/>
        <family val="2"/>
        <scheme val="minor"/>
      </font>
      <numFmt numFmtId="166" formatCode="_-[$$-409]* #,##0_ ;_-[$$-409]* \-#,##0\ ;_-[$$-409]* &quot;-&quot;??_ ;_-@_ "/>
      <alignment horizontal="general" vertical="center" textRotation="0" indent="0" justifyLastLine="0" shrinkToFit="0" readingOrder="0"/>
    </dxf>
    <dxf>
      <font>
        <b val="0"/>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i val="0"/>
        <strike val="0"/>
        <condense val="0"/>
        <extend val="0"/>
        <outline val="0"/>
        <shadow val="0"/>
        <u val="none"/>
        <vertAlign val="baseline"/>
        <sz val="11"/>
        <color rgb="FF0070C0"/>
        <name val="Calibri (Body)"/>
        <scheme val="none"/>
      </font>
      <numFmt numFmtId="165" formatCode="_-[$R-1C09]* #,##0_-;\-[$R-1C09]* #,##0_-;_-[$R-1C09]* &quot;-&quot;??_-;_-@_-"/>
    </dxf>
    <dxf>
      <font>
        <b val="0"/>
        <i val="0"/>
        <strike val="0"/>
        <condense val="0"/>
        <extend val="0"/>
        <outline val="0"/>
        <shadow val="0"/>
        <u val="none"/>
        <vertAlign val="baseline"/>
        <sz val="11"/>
        <color rgb="FF0070C0"/>
        <name val="Calibri (Body)"/>
        <scheme val="none"/>
      </font>
      <numFmt numFmtId="165" formatCode="_-[$R-1C09]* #,##0_-;\-[$R-1C09]* #,##0_-;_-[$R-1C09]* &quot;-&quot;??_-;_-@_-"/>
      <fill>
        <patternFill patternType="none">
          <fgColor indexed="64"/>
          <bgColor auto="1"/>
        </patternFill>
      </fill>
      <alignment horizontal="general" vertical="center" textRotation="0" indent="0" justifyLastLine="0" shrinkToFit="0" readingOrder="0"/>
    </dxf>
    <dxf>
      <font>
        <b/>
        <i val="0"/>
        <strike val="0"/>
        <condense val="0"/>
        <extend val="0"/>
        <outline val="0"/>
        <shadow val="0"/>
        <u val="none"/>
        <vertAlign val="baseline"/>
        <sz val="11"/>
        <color rgb="FF0070C0"/>
        <name val="Calibri"/>
        <family val="2"/>
        <scheme val="minor"/>
      </font>
      <numFmt numFmtId="170" formatCode="[$€-2]\ #,##0"/>
    </dxf>
    <dxf>
      <font>
        <b val="0"/>
        <strike val="0"/>
        <outline val="0"/>
        <shadow val="0"/>
        <u val="none"/>
        <vertAlign val="baseline"/>
        <sz val="11"/>
        <color rgb="FF0070C0"/>
      </font>
      <numFmt numFmtId="170" formatCode="[$€-2]\ #,##0"/>
      <fill>
        <patternFill patternType="none">
          <fgColor indexed="64"/>
          <bgColor auto="1"/>
        </patternFill>
      </fill>
      <alignment horizontal="general" vertical="center" textRotation="0" indent="0" justifyLastLine="0" shrinkToFit="0" readingOrder="0"/>
    </dxf>
    <dxf>
      <font>
        <b/>
        <i val="0"/>
        <strike val="0"/>
        <condense val="0"/>
        <extend val="0"/>
        <outline val="0"/>
        <shadow val="0"/>
        <u val="none"/>
        <vertAlign val="baseline"/>
        <sz val="11"/>
        <color rgb="FF0070C0"/>
        <name val="Calibri (Body)"/>
        <scheme val="none"/>
      </font>
      <numFmt numFmtId="166" formatCode="_-[$$-409]* #,##0_ ;_-[$$-409]* \-#,##0\ ;_-[$$-409]* &quot;-&quot;??_ ;_-@_ "/>
    </dxf>
    <dxf>
      <font>
        <b val="0"/>
        <i val="0"/>
        <strike val="0"/>
        <condense val="0"/>
        <extend val="0"/>
        <outline val="0"/>
        <shadow val="0"/>
        <u val="none"/>
        <vertAlign val="baseline"/>
        <sz val="11"/>
        <color rgb="FF0070C0"/>
        <name val="Calibri"/>
        <family val="2"/>
        <scheme val="minor"/>
      </font>
      <numFmt numFmtId="166" formatCode="_-[$$-409]* #,##0_ ;_-[$$-409]* \-#,##0\ ;_-[$$-409]* &quot;-&quot;??_ ;_-@_ "/>
      <fill>
        <patternFill patternType="none">
          <fgColor indexed="64"/>
          <bgColor auto="1"/>
        </patternFill>
      </fill>
      <alignment horizontal="general" vertical="center" textRotation="0"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fill>
        <patternFill patternType="none">
          <fgColor indexed="64"/>
          <bgColor auto="1"/>
        </patternFill>
      </fill>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fill>
        <patternFill patternType="none">
          <fgColor indexed="64"/>
          <bgColor auto="1"/>
        </patternFill>
      </fill>
      <alignment horizontal="general" vertical="center" textRotation="0" indent="0" justifyLastLine="0" shrinkToFit="0" readingOrder="0"/>
    </dxf>
    <dxf>
      <border outline="0">
        <right style="thin">
          <color theme="4" tint="0.39997558519241921"/>
        </right>
      </border>
    </dxf>
    <dxf>
      <font>
        <strike val="0"/>
        <outline val="0"/>
        <shadow val="0"/>
        <u val="none"/>
        <vertAlign val="baseline"/>
        <sz val="11"/>
        <color rgb="FF0070C0"/>
      </font>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7" formatCode="[$-F800]dddd\,\ mmmm\ dd\,\ yyyy"/>
      <alignment horizontal="general" vertical="bottom" textRotation="0" wrapText="1" indent="0" justifyLastLine="0" shrinkToFit="0" readingOrder="0"/>
    </dxf>
    <dxf>
      <font>
        <b val="0"/>
        <strike val="0"/>
        <outline val="0"/>
        <shadow val="0"/>
        <u val="none"/>
        <vertAlign val="baseline"/>
        <sz val="11"/>
        <color rgb="FF0070C0"/>
        <name val="Calibri (Body)"/>
        <scheme val="none"/>
      </font>
      <numFmt numFmtId="167" formatCode="[$-F800]dddd\,\ mmmm\ dd\,\ yyyy"/>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numFmt numFmtId="13" formatCode="0%"/>
      <alignment horizontal="general" vertical="bottom"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Body)"/>
        <scheme val="none"/>
      </font>
      <numFmt numFmtId="164" formatCode="_-[$R-1C09]* #,##0.00_-;\-[$R-1C09]* #,##0.00_-;_-[$R-1C09]* &quot;-&quot;??_-;_-@_-"/>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5" formatCode="_-[$R-1C09]* #,##0_-;\-[$R-1C09]* #,##0_-;_-[$R-1C09]* &quot;-&quot;??_-;_-@_-"/>
    </dxf>
    <dxf>
      <font>
        <b val="0"/>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wrapText="0" indent="0" justifyLastLine="0" shrinkToFit="0" readingOrder="0"/>
    </dxf>
    <dxf>
      <font>
        <b/>
        <i val="0"/>
        <strike val="0"/>
        <condense val="0"/>
        <extend val="0"/>
        <outline val="0"/>
        <shadow val="0"/>
        <u val="none"/>
        <vertAlign val="baseline"/>
        <sz val="11"/>
        <color rgb="FF0070C0"/>
        <name val="Calibri"/>
        <family val="2"/>
        <scheme val="minor"/>
      </font>
      <numFmt numFmtId="171" formatCode="_-[$£-809]* #,##0_-;\-[$£-809]* #,##0_-;_-[$£-809]* &quot;-&quot;??_-;_-@_-"/>
    </dxf>
    <dxf>
      <font>
        <b val="0"/>
        <i val="0"/>
        <strike val="0"/>
        <condense val="0"/>
        <extend val="0"/>
        <outline val="0"/>
        <shadow val="0"/>
        <u val="none"/>
        <vertAlign val="baseline"/>
        <sz val="11"/>
        <color rgb="FF0070C0"/>
        <name val="Calibri"/>
        <family val="2"/>
        <scheme val="minor"/>
      </font>
      <numFmt numFmtId="166" formatCode="_-[$$-409]* #,##0_ ;_-[$$-409]* \-#,##0\ ;_-[$$-409]* &quot;-&quot;??_ ;_-@_ "/>
      <alignment horizontal="general" vertical="center" textRotation="0" wrapText="0" indent="0" justifyLastLine="0" shrinkToFit="0" readingOrder="0"/>
    </dxf>
    <dxf>
      <font>
        <b/>
        <i val="0"/>
        <strike val="0"/>
        <condense val="0"/>
        <extend val="0"/>
        <outline val="0"/>
        <shadow val="0"/>
        <u val="none"/>
        <vertAlign val="baseline"/>
        <sz val="11"/>
        <color rgb="FF0070C0"/>
        <name val="Calibri (Body)"/>
        <scheme val="none"/>
      </font>
      <numFmt numFmtId="166" formatCode="_-[$$-409]* #,##0_ ;_-[$$-409]* \-#,##0\ ;_-[$$-409]* &quot;-&quot;??_ ;_-@_ "/>
    </dxf>
    <dxf>
      <font>
        <b val="0"/>
        <i val="0"/>
        <strike val="0"/>
        <condense val="0"/>
        <extend val="0"/>
        <outline val="0"/>
        <shadow val="0"/>
        <u val="none"/>
        <vertAlign val="baseline"/>
        <sz val="11"/>
        <color rgb="FF0070C0"/>
        <name val="Calibri (Body)"/>
        <scheme val="none"/>
      </font>
      <numFmt numFmtId="166" formatCode="_-[$$-409]* #,##0_ ;_-[$$-409]* \-#,##0\ ;_-[$$-409]* &quot;-&quot;??_ ;_-@_ "/>
      <alignment horizontal="general" vertical="center" textRotation="0" wrapText="0" indent="0" justifyLastLine="0" shrinkToFit="0" readingOrder="0"/>
    </dxf>
    <dxf>
      <font>
        <b/>
        <i val="0"/>
        <strike val="0"/>
        <condense val="0"/>
        <extend val="0"/>
        <outline val="0"/>
        <shadow val="0"/>
        <u val="none"/>
        <vertAlign val="baseline"/>
        <sz val="11"/>
        <color rgb="FF0070C0"/>
        <name val="Calibri (Body)"/>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70C0"/>
        <name val="Calibri (Body)"/>
        <scheme val="none"/>
      </font>
      <alignment horizontal="general" vertical="center" textRotation="0" wrapText="1" indent="0" justifyLastLine="0" shrinkToFit="0" readingOrder="0"/>
    </dxf>
    <dxf>
      <font>
        <b/>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strike val="0"/>
        <outline val="0"/>
        <shadow val="0"/>
        <u val="none"/>
        <vertAlign val="baseline"/>
        <sz val="11"/>
        <color rgb="FF0070C0"/>
        <name val="Calibri"/>
        <family val="2"/>
        <scheme val="minor"/>
      </font>
      <alignment horizontal="general" vertical="center" textRotation="0" indent="0" justifyLastLine="0" shrinkToFit="0" readingOrder="0"/>
    </dxf>
    <dxf>
      <font>
        <strike val="0"/>
        <outline val="0"/>
        <shadow val="0"/>
        <u val="none"/>
        <vertAlign val="baseline"/>
        <sz val="11"/>
        <color rgb="FF0070C0"/>
        <name val="Calibri"/>
        <family val="2"/>
        <scheme val="minor"/>
      </font>
      <alignment horizontal="general" vertical="center" textRotation="0" indent="0" justifyLastLine="0" shrinkToFit="0" readingOrder="0"/>
    </dxf>
    <dxf>
      <font>
        <strike val="0"/>
        <outline val="0"/>
        <shadow val="0"/>
        <u val="none"/>
        <vertAlign val="baseline"/>
        <sz val="11"/>
        <color rgb="FF0070C0"/>
      </font>
      <alignment horizontal="general" vertical="center" textRotation="0" wrapText="1" indent="0" justifyLastLine="0" shrinkToFit="0" readingOrder="0"/>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val="0"/>
        <strike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i val="0"/>
        <strike val="0"/>
        <condense val="0"/>
        <extend val="0"/>
        <outline val="0"/>
        <shadow val="0"/>
        <u val="none"/>
        <vertAlign val="baseline"/>
        <sz val="11"/>
        <color rgb="FF0070C0"/>
        <name val="Calibri (Body)"/>
        <scheme val="none"/>
      </font>
      <numFmt numFmtId="165" formatCode="_-[$R-1C09]* #,##0_-;\-[$R-1C09]* #,##0_-;_-[$R-1C09]* &quot;-&quot;??_-;_-@_-"/>
    </dxf>
    <dxf>
      <font>
        <b/>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i val="0"/>
        <strike val="0"/>
        <condense val="0"/>
        <extend val="0"/>
        <outline val="0"/>
        <shadow val="0"/>
        <u val="none"/>
        <vertAlign val="baseline"/>
        <sz val="11"/>
        <color rgb="FF0070C0"/>
        <name val="Calibri"/>
        <family val="2"/>
        <scheme val="minor"/>
      </font>
      <numFmt numFmtId="170" formatCode="[$€-2]\ #,##0"/>
    </dxf>
    <dxf>
      <font>
        <b/>
        <strike val="0"/>
        <outline val="0"/>
        <shadow val="0"/>
        <u val="none"/>
        <vertAlign val="baseline"/>
        <sz val="11"/>
        <color rgb="FF0070C0"/>
        <name val="Calibri"/>
        <family val="2"/>
        <scheme val="minor"/>
      </font>
      <numFmt numFmtId="170" formatCode="[$€-2]\ #,##0"/>
      <alignment horizontal="general" vertical="center" textRotation="0" indent="0" justifyLastLine="0" shrinkToFit="0" readingOrder="0"/>
    </dxf>
    <dxf>
      <font>
        <b/>
        <i val="0"/>
        <strike val="0"/>
        <condense val="0"/>
        <extend val="0"/>
        <outline val="0"/>
        <shadow val="0"/>
        <u val="none"/>
        <vertAlign val="baseline"/>
        <sz val="11"/>
        <color rgb="FF0070C0"/>
        <name val="Calibri"/>
        <family val="2"/>
        <scheme val="minor"/>
      </font>
      <numFmt numFmtId="166" formatCode="_-[$$-409]* #,##0_ ;_-[$$-409]* \-#,##0\ ;_-[$$-409]* &quot;-&quot;??_ ;_-@_ "/>
    </dxf>
    <dxf>
      <font>
        <b/>
        <strike val="0"/>
        <outline val="0"/>
        <shadow val="0"/>
        <u val="none"/>
        <vertAlign val="baseline"/>
        <sz val="11"/>
        <color rgb="FF0070C0"/>
      </font>
      <alignment horizontal="general" vertical="center" textRotation="0" indent="0" justifyLastLine="0" shrinkToFit="0" readingOrder="0"/>
    </dxf>
    <dxf>
      <font>
        <b val="0"/>
        <strike val="0"/>
        <outline val="0"/>
        <shadow val="0"/>
        <u val="none"/>
        <vertAlign val="baseline"/>
        <sz val="11"/>
        <color rgb="FF0070C0"/>
      </font>
      <alignment horizontal="general" vertical="center" textRotation="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
      <font>
        <strike val="0"/>
        <outline val="0"/>
        <shadow val="0"/>
        <u val="none"/>
        <vertAlign val="baseline"/>
        <sz val="11"/>
        <color rgb="FF0070C0"/>
        <name val="Calibri"/>
        <family val="2"/>
        <scheme val="minor"/>
      </font>
      <alignment horizontal="general" vertical="center" textRotation="0" indent="0" justifyLastLine="0" shrinkToFit="0" readingOrder="0"/>
    </dxf>
    <dxf>
      <font>
        <strike val="0"/>
        <outline val="0"/>
        <shadow val="0"/>
        <u val="none"/>
        <vertAlign val="baseline"/>
        <sz val="11"/>
        <color rgb="FF0070C0"/>
        <name val="Calibri"/>
        <family val="2"/>
        <scheme val="minor"/>
      </font>
      <alignment horizontal="general" vertical="center" textRotation="0" indent="0" justifyLastLine="0" shrinkToFit="0" readingOrder="0"/>
    </dxf>
    <dxf>
      <font>
        <strike val="0"/>
        <outline val="0"/>
        <shadow val="0"/>
        <u val="none"/>
        <vertAlign val="baseline"/>
        <sz val="11"/>
        <color rgb="FF0070C0"/>
      </font>
      <alignment horizontal="general" vertical="center" textRotation="0" wrapText="1" indent="0" justifyLastLine="0" shrinkToFit="0" readingOrder="0"/>
    </dxf>
    <dxf>
      <font>
        <b val="0"/>
        <strike val="0"/>
        <outline val="0"/>
        <shadow val="0"/>
        <u val="none"/>
        <vertAlign val="baseline"/>
        <sz val="11"/>
        <color rgb="FF0070C0"/>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numFmt numFmtId="164" formatCode="_-[$R-1C09]* #,##0.00_-;\-[$R-1C09]* #,##0.00_-;_-[$R-1C09]* &quot;-&quot;??_-;_-@_-"/>
      <alignment horizontal="general" vertical="center" textRotation="0" wrapText="1" indent="0" justifyLastLine="0" shrinkToFit="0" readingOrder="0"/>
    </dxf>
    <dxf>
      <font>
        <b val="0"/>
        <strike val="0"/>
        <outline val="0"/>
        <shadow val="0"/>
        <u val="none"/>
        <vertAlign val="baseline"/>
        <sz val="11"/>
        <color rgb="FF0070C0"/>
        <name val="Calibri (Body)"/>
        <scheme val="none"/>
      </font>
      <numFmt numFmtId="164" formatCode="_-[$R-1C09]* #,##0.00_-;\-[$R-1C09]* #,##0.00_-;_-[$R-1C09]* &quot;-&quot;??_-;_-@_-"/>
      <alignment horizontal="general" vertical="center" textRotation="0" wrapText="1" indent="0" justifyLastLine="0" shrinkToFit="0" readingOrder="0"/>
    </dxf>
    <dxf>
      <font>
        <b val="0"/>
        <i val="0"/>
        <strike val="0"/>
        <condense val="0"/>
        <extend val="0"/>
        <outline val="0"/>
        <shadow val="0"/>
        <u val="none"/>
        <vertAlign val="baseline"/>
        <sz val="11"/>
        <color rgb="FF0070C0"/>
        <name val="Calibri"/>
        <family val="2"/>
        <scheme val="minor"/>
      </font>
    </dxf>
    <dxf>
      <font>
        <b val="0"/>
        <strike val="0"/>
        <outline val="0"/>
        <shadow val="0"/>
        <u val="none"/>
        <vertAlign val="baseline"/>
        <sz val="11"/>
        <color rgb="FF0070C0"/>
        <name val="Calibri"/>
        <family val="2"/>
        <scheme val="minor"/>
      </font>
      <alignment vertical="center" textRotation="0" indent="0" justifyLastLine="0" shrinkToFit="0" readingOrder="0"/>
    </dxf>
    <dxf>
      <font>
        <b/>
        <i val="0"/>
        <strike val="0"/>
        <condense val="0"/>
        <extend val="0"/>
        <outline val="0"/>
        <shadow val="0"/>
        <u val="none"/>
        <vertAlign val="baseline"/>
        <sz val="11"/>
        <color rgb="FF0070C0"/>
        <name val="Calibri (Body)"/>
        <scheme val="none"/>
      </font>
      <numFmt numFmtId="165" formatCode="_-[$R-1C09]* #,##0_-;\-[$R-1C09]* #,##0_-;_-[$R-1C09]* &quot;-&quot;??_-;_-@_-"/>
    </dxf>
    <dxf>
      <font>
        <b/>
        <i val="0"/>
        <strike val="0"/>
        <condense val="0"/>
        <extend val="0"/>
        <outline val="0"/>
        <shadow val="0"/>
        <u val="none"/>
        <vertAlign val="baseline"/>
        <sz val="11"/>
        <color rgb="FF0070C0"/>
        <name val="Calibri (Body)"/>
        <scheme val="none"/>
      </font>
      <numFmt numFmtId="165" formatCode="_-[$R-1C09]* #,##0_-;\-[$R-1C09]* #,##0_-;_-[$R-1C09]* &quot;-&quot;??_-;_-@_-"/>
      <alignment horizontal="general" vertical="center" textRotation="0" indent="0" justifyLastLine="0" shrinkToFit="0" readingOrder="0"/>
    </dxf>
    <dxf>
      <font>
        <b/>
        <i val="0"/>
        <strike val="0"/>
        <condense val="0"/>
        <extend val="0"/>
        <outline val="0"/>
        <shadow val="0"/>
        <u val="none"/>
        <vertAlign val="baseline"/>
        <sz val="11"/>
        <color rgb="FF0070C0"/>
        <name val="Calibri"/>
        <family val="2"/>
        <scheme val="minor"/>
      </font>
      <numFmt numFmtId="166" formatCode="_-[$$-409]* #,##0_ ;_-[$$-409]* \-#,##0\ ;_-[$$-409]* &quot;-&quot;??_ ;_-@_ "/>
    </dxf>
    <dxf>
      <font>
        <b/>
        <strike val="0"/>
        <outline val="0"/>
        <shadow val="0"/>
        <u val="none"/>
        <vertAlign val="baseline"/>
        <sz val="11"/>
        <color rgb="FF0070C0"/>
        <name val="Calibri"/>
        <family val="2"/>
        <scheme val="minor"/>
      </font>
      <alignment horizontal="general" vertical="center" textRotation="0" indent="0" justifyLastLine="0" shrinkToFit="0" readingOrder="0"/>
    </dxf>
    <dxf>
      <alignment horizontal="general" vertical="bottom" textRotation="0" wrapText="1" indent="0" justifyLastLine="0" shrinkToFit="0" readingOrder="0"/>
    </dxf>
    <dxf>
      <font>
        <b val="0"/>
        <strike val="0"/>
        <outline val="0"/>
        <shadow val="0"/>
        <u val="none"/>
        <vertAlign val="baseline"/>
        <sz val="11"/>
        <color rgb="FF0070C0"/>
      </font>
      <alignment horizontal="general" vertical="center" textRotation="0" wrapText="1"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font>
        <b val="0"/>
        <strike val="0"/>
        <outline val="0"/>
        <shadow val="0"/>
        <u val="none"/>
        <vertAlign val="baseline"/>
        <sz val="11"/>
        <color rgb="FF0070C0"/>
        <name val="Calibri"/>
        <family val="2"/>
        <scheme val="minor"/>
      </font>
      <alignment horizontal="general" vertical="center" textRotation="0" indent="0" justifyLastLine="0" shrinkToFit="0" readingOrder="0"/>
    </dxf>
    <dxf>
      <border outline="0">
        <right style="thin">
          <color theme="4" tint="0.39997558519241921"/>
        </right>
      </border>
    </dxf>
    <dxf>
      <font>
        <strike val="0"/>
        <outline val="0"/>
        <shadow val="0"/>
        <vertAlign val="baseline"/>
        <sz val="11"/>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powerPivotData" Target="model/item.data"/><Relationship Id="rId34" Type="http://schemas.openxmlformats.org/officeDocument/2006/relationships/customXml" Target="../customXml/item1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aredStrings" Target="sharedStrings.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[JET Grants Register 2024Q1 - 2024Q3 - Published-3.xlsx]PivotTables!PivotTable2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Funding</a:t>
            </a:r>
            <a:r>
              <a:rPr lang="en-US" baseline="0"/>
              <a:t> Growth/Decline Over Time</a:t>
            </a:r>
            <a:r>
              <a:rPr lang="en-US"/>
              <a:t> (</a:t>
            </a:r>
            <a:r>
              <a:rPr lang="en-US">
                <a:solidFill>
                  <a:srgbClr val="DD5A13"/>
                </a:solidFill>
              </a:rPr>
              <a:t>Total ZAR)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rgbClr val="ED733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rgbClr val="ED733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ED7331"/>
            </a:solidFill>
            <a:prstDash val="solid"/>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PivotTables!$C$5</c:f>
              <c:strCache>
                <c:ptCount val="1"/>
                <c:pt idx="0">
                  <c:v>Total</c:v>
                </c:pt>
              </c:strCache>
            </c:strRef>
          </c:tx>
          <c:spPr>
            <a:ln w="28575" cap="rnd">
              <a:solidFill>
                <a:srgbClr val="ED7331"/>
              </a:solidFill>
              <a:prstDash val="solid"/>
              <a:round/>
            </a:ln>
            <a:effectLst/>
          </c:spPr>
          <c:marker>
            <c:symbol val="none"/>
          </c:marker>
          <c:trendline>
            <c:spPr>
              <a:ln w="19050" cap="rnd">
                <a:solidFill>
                  <a:srgbClr val="ED7331"/>
                </a:solidFill>
                <a:prstDash val="sysDot"/>
              </a:ln>
              <a:effectLst/>
            </c:spPr>
            <c:trendlineType val="linear"/>
            <c:dispRSqr val="0"/>
            <c:dispEq val="0"/>
          </c:trendline>
          <c:cat>
            <c:strRef>
              <c:f>PivotTables!$B$6:$B$9</c:f>
              <c:strCache>
                <c:ptCount val="3"/>
                <c:pt idx="0">
                  <c:v>2025/10/31</c:v>
                </c:pt>
                <c:pt idx="1">
                  <c:v>2025/12/31</c:v>
                </c:pt>
                <c:pt idx="2">
                  <c:v>2030/12/31</c:v>
                </c:pt>
              </c:strCache>
            </c:strRef>
          </c:cat>
          <c:val>
            <c:numRef>
              <c:f>PivotTables!$C$6:$C$9</c:f>
              <c:numCache>
                <c:formatCode>_-[$R-1C09]* #\ ##0_-;\-[$R-1C09]* #\ ##0_-;_-[$R-1C09]* "-"??_-;_-@_-</c:formatCode>
                <c:ptCount val="3"/>
                <c:pt idx="0">
                  <c:v>3285683.7478530616</c:v>
                </c:pt>
                <c:pt idx="1">
                  <c:v>82838399.392800003</c:v>
                </c:pt>
                <c:pt idx="2">
                  <c:v>983831112.72000003</c:v>
                </c:pt>
              </c:numCache>
            </c:numRef>
          </c:val>
          <c:smooth val="0"/>
          <c:extLst>
            <c:ext xmlns:c16="http://schemas.microsoft.com/office/drawing/2014/chart" uri="{C3380CC4-5D6E-409C-BE32-E72D297353CC}">
              <c16:uniqueId val="{00000001-C673-F649-9463-D70D5A213E3B}"/>
            </c:ext>
          </c:extLst>
        </c:ser>
        <c:dLbls>
          <c:showLegendKey val="0"/>
          <c:showVal val="0"/>
          <c:showCatName val="0"/>
          <c:showSerName val="0"/>
          <c:showPercent val="0"/>
          <c:showBubbleSize val="0"/>
        </c:dLbls>
        <c:smooth val="0"/>
        <c:axId val="226764751"/>
        <c:axId val="226766463"/>
      </c:lineChart>
      <c:catAx>
        <c:axId val="226764751"/>
        <c:scaling>
          <c:orientation val="minMax"/>
        </c:scaling>
        <c:delete val="0"/>
        <c:axPos val="b"/>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GB" sz="1050"/>
                  <a:t>Funding Period End Date</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766463"/>
        <c:crosses val="autoZero"/>
        <c:auto val="1"/>
        <c:lblAlgn val="ctr"/>
        <c:lblOffset val="100"/>
        <c:noMultiLvlLbl val="0"/>
      </c:catAx>
      <c:valAx>
        <c:axId val="226766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en-GB" sz="1050"/>
                  <a:t>Total Funding (ZAR Millions)</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_-[$R-1C09]* #\ ##0_-;\-[$R-1C09]* #\ ##0_-;_-[$R-1C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6764751"/>
        <c:crosses val="autoZero"/>
        <c:crossBetween val="midCat"/>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'Source: Germany', 'Portfolios': </a:t>
            </a:r>
            <a:r>
              <a:rPr lang="en-US">
                <a:solidFill>
                  <a:srgbClr val="DD5A13"/>
                </a:solidFill>
              </a:rPr>
              <a:t>Electricity</a:t>
            </a:r>
            <a:r>
              <a:rPr lang="en-US"/>
              <a:t> and </a:t>
            </a:r>
            <a:r>
              <a:rPr lang="en-US">
                <a:solidFill>
                  <a:srgbClr val="DD5A13"/>
                </a:solidFill>
              </a:rPr>
              <a:t>Green hydrogen</a:t>
            </a:r>
            <a:r>
              <a:rPr lang="en-US"/>
              <a:t> have noticeably higher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ED7331"/>
          </a:solidFill>
          <a:ln>
            <a:noFill/>
          </a:ln>
          <a:effectLst/>
        </c:spPr>
      </c:pivotFmt>
      <c:pivotFmt>
        <c:idx val="3"/>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ED7331"/>
          </a:solidFill>
          <a:ln>
            <a:noFill/>
          </a:ln>
          <a:effectLst/>
        </c:spPr>
      </c:pivotFmt>
      <c:pivotFmt>
        <c:idx val="5"/>
        <c:spPr>
          <a:solidFill>
            <a:srgbClr val="ED7331"/>
          </a:solidFill>
          <a:ln>
            <a:noFill/>
          </a:ln>
          <a:effectLst/>
        </c:spPr>
      </c:pivotFmt>
      <c:pivotFmt>
        <c:idx val="6"/>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ED7331"/>
          </a:solidFill>
          <a:ln>
            <a:noFill/>
          </a:ln>
          <a:effectLst/>
        </c:spPr>
      </c:pivotFmt>
      <c:pivotFmt>
        <c:idx val="8"/>
        <c:spPr>
          <a:solidFill>
            <a:srgbClr val="ED7331"/>
          </a:solidFill>
          <a:ln>
            <a:noFill/>
          </a:ln>
          <a:effectLst/>
        </c:spPr>
      </c:pivotFmt>
    </c:pivotFmts>
    <c:plotArea>
      <c:layout/>
      <c:barChart>
        <c:barDir val="bar"/>
        <c:grouping val="stacked"/>
        <c:varyColors val="0"/>
        <c:ser>
          <c:idx val="0"/>
          <c:order val="0"/>
          <c:tx>
            <c:v>Total</c:v>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1-15CF-D14D-9A63-5BFB2F7CB358}"/>
              </c:ext>
            </c:extLst>
          </c:dPt>
          <c:dPt>
            <c:idx val="1"/>
            <c:invertIfNegative val="0"/>
            <c:bubble3D val="0"/>
            <c:spPr>
              <a:solidFill>
                <a:srgbClr val="ED7331"/>
              </a:solidFill>
              <a:ln>
                <a:noFill/>
              </a:ln>
              <a:effectLst/>
            </c:spPr>
            <c:extLst>
              <c:ext xmlns:c16="http://schemas.microsoft.com/office/drawing/2014/chart" uri="{C3380CC4-5D6E-409C-BE32-E72D297353CC}">
                <c16:uniqueId val="{00000003-15CF-D14D-9A63-5BFB2F7CB358}"/>
              </c:ext>
            </c:extLst>
          </c:dPt>
          <c:cat>
            <c:strLit>
              <c:ptCount val="5"/>
              <c:pt idx="0">
                <c:v>Electricity</c:v>
              </c:pt>
              <c:pt idx="1">
                <c:v>Green hydrogen</c:v>
              </c:pt>
              <c:pt idx="2">
                <c:v>JT-Mpumalanga</c:v>
              </c:pt>
              <c:pt idx="3">
                <c:v>Skills</c:v>
              </c:pt>
              <c:pt idx="4">
                <c:v>Municipalities</c:v>
              </c:pt>
            </c:strLit>
          </c:cat>
          <c:val>
            <c:numLit>
              <c:formatCode>General</c:formatCode>
              <c:ptCount val="5"/>
              <c:pt idx="0">
                <c:v>1511994600</c:v>
              </c:pt>
              <c:pt idx="1">
                <c:v>1435919400</c:v>
              </c:pt>
              <c:pt idx="2">
                <c:v>867447468</c:v>
              </c:pt>
              <c:pt idx="3">
                <c:v>751242600</c:v>
              </c:pt>
              <c:pt idx="4">
                <c:v>456451200</c:v>
              </c:pt>
            </c:numLit>
          </c:val>
          <c:extLst>
            <c:ext xmlns:c16="http://schemas.microsoft.com/office/drawing/2014/chart" uri="{C3380CC4-5D6E-409C-BE32-E72D297353CC}">
              <c16:uniqueId val="{00000004-15CF-D14D-9A63-5BFB2F7CB358}"/>
            </c:ext>
          </c:extLst>
        </c:ser>
        <c:dLbls>
          <c:showLegendKey val="0"/>
          <c:showVal val="0"/>
          <c:showCatName val="0"/>
          <c:showSerName val="0"/>
          <c:showPercent val="0"/>
          <c:showBubbleSize val="0"/>
        </c:dLbls>
        <c:gapWidth val="33"/>
        <c:overlap val="100"/>
        <c:axId val="390552351"/>
        <c:axId val="390596399"/>
      </c:barChart>
      <c:catAx>
        <c:axId val="390552351"/>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Portfolios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596399"/>
        <c:crosses val="autoZero"/>
        <c:auto val="1"/>
        <c:lblAlgn val="ctr"/>
        <c:lblOffset val="100"/>
        <c:noMultiLvlLbl val="0"/>
      </c:catAx>
      <c:valAx>
        <c:axId val="39059639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552351"/>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[JET Grants Register 2024Q1 - 2024Q3 - Published-3.xlsx]PivotTables!PivotTable4</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'Portfolios: JT-Mpumalanga', 'Status': </a:t>
            </a:r>
            <a:r>
              <a:rPr lang="en-US">
                <a:solidFill>
                  <a:srgbClr val="DD5A13"/>
                </a:solidFill>
              </a:rPr>
              <a:t>B. Pledged</a:t>
            </a:r>
            <a:r>
              <a:rPr lang="en-US"/>
              <a:t> accounts for the majority of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w="19050">
            <a:solidFill>
              <a:schemeClr val="lt1"/>
            </a:solidFill>
          </a:ln>
          <a:effectLst/>
        </c:spPr>
      </c:pivotFmt>
      <c:pivotFmt>
        <c:idx val="2"/>
        <c:spPr>
          <a:solidFill>
            <a:srgbClr val="D2D2D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D2D2D2"/>
          </a:solidFill>
          <a:ln w="19050">
            <a:solidFill>
              <a:schemeClr val="lt1"/>
            </a:solidFill>
          </a:ln>
          <a:effectLst/>
        </c:spPr>
      </c:pivotFmt>
      <c:pivotFmt>
        <c:idx val="4"/>
        <c:spPr>
          <a:solidFill>
            <a:srgbClr val="ED7331"/>
          </a:solidFill>
          <a:ln w="19050">
            <a:solidFill>
              <a:schemeClr val="lt1"/>
            </a:solidFill>
          </a:ln>
          <a:effectLst/>
        </c:spPr>
      </c:pivotFmt>
      <c:pivotFmt>
        <c:idx val="5"/>
        <c:spPr>
          <a:solidFill>
            <a:srgbClr val="D2D2D2"/>
          </a:solidFill>
          <a:ln w="19050">
            <a:solidFill>
              <a:schemeClr val="lt1"/>
            </a:solidFill>
          </a:ln>
          <a:effectLst/>
        </c:spPr>
      </c:pivotFmt>
      <c:pivotFmt>
        <c:idx val="6"/>
        <c:spPr>
          <a:solidFill>
            <a:srgbClr val="D2D2D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D2D2D2"/>
          </a:solidFill>
          <a:ln w="19050">
            <a:solidFill>
              <a:schemeClr val="lt1"/>
            </a:solidFill>
          </a:ln>
          <a:effectLst/>
        </c:spPr>
      </c:pivotFmt>
      <c:pivotFmt>
        <c:idx val="8"/>
        <c:spPr>
          <a:solidFill>
            <a:srgbClr val="ED7331"/>
          </a:solidFill>
          <a:ln w="19050">
            <a:solidFill>
              <a:schemeClr val="lt1"/>
            </a:solidFill>
          </a:ln>
          <a:effectLst/>
        </c:spPr>
      </c:pivotFmt>
      <c:pivotFmt>
        <c:idx val="9"/>
        <c:spPr>
          <a:solidFill>
            <a:srgbClr val="D2D2D2"/>
          </a:solidFill>
          <a:ln w="19050">
            <a:solidFill>
              <a:schemeClr val="lt1"/>
            </a:solidFill>
          </a:ln>
          <a:effectLst/>
        </c:spPr>
      </c:pivotFmt>
    </c:pivotFmts>
    <c:plotArea>
      <c:layout/>
      <c:doughnutChart>
        <c:varyColors val="1"/>
        <c:ser>
          <c:idx val="0"/>
          <c:order val="0"/>
          <c:tx>
            <c:strRef>
              <c:f>PivotTables!$AG$5</c:f>
              <c:strCache>
                <c:ptCount val="1"/>
                <c:pt idx="0">
                  <c:v>Total</c:v>
                </c:pt>
              </c:strCache>
            </c:strRef>
          </c:tx>
          <c:spPr>
            <a:solidFill>
              <a:srgbClr val="D2D2D2"/>
            </a:solidFill>
          </c:spPr>
          <c:dPt>
            <c:idx val="0"/>
            <c:bubble3D val="0"/>
            <c:spPr>
              <a:solidFill>
                <a:srgbClr val="D2D2D2"/>
              </a:solidFill>
              <a:ln w="19050">
                <a:solidFill>
                  <a:schemeClr val="lt1"/>
                </a:solidFill>
              </a:ln>
              <a:effectLst/>
            </c:spPr>
            <c:extLst>
              <c:ext xmlns:c16="http://schemas.microsoft.com/office/drawing/2014/chart" uri="{C3380CC4-5D6E-409C-BE32-E72D297353CC}">
                <c16:uniqueId val="{00000001-0C6D-9444-B9A0-722BC5CB65C2}"/>
              </c:ext>
            </c:extLst>
          </c:dPt>
          <c:dPt>
            <c:idx val="1"/>
            <c:bubble3D val="0"/>
            <c:spPr>
              <a:solidFill>
                <a:srgbClr val="ED7331"/>
              </a:solidFill>
              <a:ln w="19050">
                <a:solidFill>
                  <a:schemeClr val="lt1"/>
                </a:solidFill>
              </a:ln>
              <a:effectLst/>
            </c:spPr>
            <c:extLst>
              <c:ext xmlns:c16="http://schemas.microsoft.com/office/drawing/2014/chart" uri="{C3380CC4-5D6E-409C-BE32-E72D297353CC}">
                <c16:uniqueId val="{00000003-0C6D-9444-B9A0-722BC5CB65C2}"/>
              </c:ext>
            </c:extLst>
          </c:dPt>
          <c:dPt>
            <c:idx val="2"/>
            <c:bubble3D val="0"/>
            <c:spPr>
              <a:solidFill>
                <a:srgbClr val="D2D2D2"/>
              </a:solidFill>
              <a:ln w="19050">
                <a:solidFill>
                  <a:schemeClr val="lt1"/>
                </a:solidFill>
              </a:ln>
              <a:effectLst/>
            </c:spPr>
            <c:extLst>
              <c:ext xmlns:c16="http://schemas.microsoft.com/office/drawing/2014/chart" uri="{C3380CC4-5D6E-409C-BE32-E72D297353CC}">
                <c16:uniqueId val="{00000005-0C6D-9444-B9A0-722BC5CB65C2}"/>
              </c:ext>
            </c:extLst>
          </c:dPt>
          <c:cat>
            <c:strRef>
              <c:f>PivotTables!$AF$6:$AF$9</c:f>
              <c:strCache>
                <c:ptCount val="3"/>
                <c:pt idx="0">
                  <c:v>C. Implementation Phase</c:v>
                </c:pt>
                <c:pt idx="1">
                  <c:v>B. Pledged</c:v>
                </c:pt>
                <c:pt idx="2">
                  <c:v>D. Completed</c:v>
                </c:pt>
              </c:strCache>
            </c:strRef>
          </c:cat>
          <c:val>
            <c:numRef>
              <c:f>PivotTables!$AG$6:$AG$9</c:f>
              <c:numCache>
                <c:formatCode>_-[$R-1C09]* #\ ##0_-;\-[$R-1C09]* #\ ##0_-;_-[$R-1C09]* "-"??_-;_-@_-</c:formatCode>
                <c:ptCount val="3"/>
                <c:pt idx="0">
                  <c:v>2262063480.7327495</c:v>
                </c:pt>
                <c:pt idx="1">
                  <c:v>682784887.25999999</c:v>
                </c:pt>
                <c:pt idx="2">
                  <c:v>71964391.159500003</c:v>
                </c:pt>
              </c:numCache>
            </c:numRef>
          </c:val>
          <c:extLst>
            <c:ext xmlns:c16="http://schemas.microsoft.com/office/drawing/2014/chart" uri="{C3380CC4-5D6E-409C-BE32-E72D297353CC}">
              <c16:uniqueId val="{00000006-0C6D-9444-B9A0-722BC5CB65C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[JET Grants Register 2024Q1 - 2024Q3 - Published-3.xlsx]PivotTables!PivotTable1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'Portfolios: Electricity', 'Implementing Entity': </a:t>
            </a:r>
            <a:r>
              <a:rPr lang="en-US">
                <a:solidFill>
                  <a:srgbClr val="DD5A13"/>
                </a:solidFill>
              </a:rPr>
              <a:t>DFIs (DBSA, AFD and EIB) and municpalities.</a:t>
            </a:r>
            <a:r>
              <a:rPr lang="en-US"/>
              <a:t> has noticeably higher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ED7331"/>
          </a:solidFill>
          <a:ln>
            <a:noFill/>
          </a:ln>
          <a:effectLst/>
        </c:spPr>
      </c:pivotFmt>
      <c:pivotFmt>
        <c:idx val="4"/>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ED7331"/>
          </a:solidFill>
          <a:ln>
            <a:noFill/>
          </a:ln>
          <a:effectLst/>
        </c:spPr>
      </c:pivotFmt>
    </c:pivotFmts>
    <c:plotArea>
      <c:layout/>
      <c:barChart>
        <c:barDir val="bar"/>
        <c:grouping val="clustered"/>
        <c:varyColors val="0"/>
        <c:ser>
          <c:idx val="0"/>
          <c:order val="0"/>
          <c:tx>
            <c:strRef>
              <c:f>PivotTables!$AO$5</c:f>
              <c:strCache>
                <c:ptCount val="1"/>
                <c:pt idx="0">
                  <c:v>Total</c:v>
                </c:pt>
              </c:strCache>
            </c:strRef>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1-A81F-EB42-8841-9DAEF5939089}"/>
              </c:ext>
            </c:extLst>
          </c:dPt>
          <c:cat>
            <c:strRef>
              <c:f>PivotTables!$AN$6:$AN$41</c:f>
              <c:strCache>
                <c:ptCount val="35"/>
                <c:pt idx="0">
                  <c:v>DFIs (DBSA, AFD and EIB) and municpalities.</c:v>
                </c:pt>
                <c:pt idx="1">
                  <c:v>Infra Impact, KfW
not agreed yet</c:v>
                </c:pt>
                <c:pt idx="2">
                  <c:v>Infra Impact, KfW; Community Trusts</c:v>
                </c:pt>
                <c:pt idx="3">
                  <c:v>DMRE, Presidency, MoE, OV, NERSA, Eskom, NTCSA, SALGA, Municipalities</c:v>
                </c:pt>
                <c:pt idx="4">
                  <c:v>(blank)</c:v>
                </c:pt>
                <c:pt idx="5">
                  <c:v>DMRE, Eskom, NT, SALGA, NERSA, Universities, NTCSA, SACN and the private sector</c:v>
                </c:pt>
                <c:pt idx="6">
                  <c:v>ESKOM</c:v>
                </c:pt>
                <c:pt idx="7">
                  <c:v>World Bank</c:v>
                </c:pt>
                <c:pt idx="8">
                  <c:v>DMRE</c:v>
                </c:pt>
                <c:pt idx="9">
                  <c:v>SECO, IFC; InvestSA, the dtic, selected metros &amp; investment agencies</c:v>
                </c:pt>
                <c:pt idx="10">
                  <c:v>Eskom, DMRE, IPPO, NERSA</c:v>
                </c:pt>
                <c:pt idx="11">
                  <c:v>DMRE; private sector, civil society, other relevant national institutions</c:v>
                </c:pt>
                <c:pt idx="12">
                  <c:v>NBI, NUMSA, NUM, BUSA, SEIFSA, Western Cape Province, 3F and Confederation of Danish Industries</c:v>
                </c:pt>
                <c:pt idx="13">
                  <c:v>IFC and Business Partners Limited</c:v>
                </c:pt>
                <c:pt idx="14">
                  <c:v>IFC and Nedbank</c:v>
                </c:pt>
                <c:pt idx="15">
                  <c:v>Eskom, NERSA, DMRE, IPPO</c:v>
                </c:pt>
                <c:pt idx="16">
                  <c:v>WWF SA, Green Cape, Democracy Works Foundation, Association for Rural Advancement, Social Change Assistance Trust</c:v>
                </c:pt>
                <c:pt idx="17">
                  <c:v>World Bank </c:v>
                </c:pt>
                <c:pt idx="18">
                  <c:v>NEPAD Business Foundation, Siemnans, Letsema Consulting </c:v>
                </c:pt>
                <c:pt idx="19">
                  <c:v>SECO, UNIDO; the dtic, NCPC-SA</c:v>
                </c:pt>
                <c:pt idx="20">
                  <c:v>SECO, GIZ; SALGA, SEA</c:v>
                </c:pt>
                <c:pt idx="21">
                  <c:v>GEAPP; Eskom</c:v>
                </c:pt>
                <c:pt idx="22">
                  <c:v>Deloitte and NARUC; NERSA, SALGA, DMRE</c:v>
                </c:pt>
                <c:pt idx="23">
                  <c:v>DBSA</c:v>
                </c:pt>
                <c:pt idx="24">
                  <c:v>BCG</c:v>
                </c:pt>
                <c:pt idx="25">
                  <c:v>Trade Forward Southern Africa and partners </c:v>
                </c:pt>
                <c:pt idx="26">
                  <c:v>CSIR; DHET, Eskom</c:v>
                </c:pt>
                <c:pt idx="27">
                  <c:v>JET IP PMU</c:v>
                </c:pt>
                <c:pt idx="28">
                  <c:v>Council for Scientific and Industrial Research (CSIR) and University of Cape Town (UCT)</c:v>
                </c:pt>
                <c:pt idx="29">
                  <c:v>Presidential Climate Commission </c:v>
                </c:pt>
                <c:pt idx="30">
                  <c:v>CamNexus and Green Crowd</c:v>
                </c:pt>
                <c:pt idx="31">
                  <c:v>SAWEA</c:v>
                </c:pt>
                <c:pt idx="32">
                  <c:v>Ricardo and ECO</c:v>
                </c:pt>
                <c:pt idx="33">
                  <c:v>IPPs needing to evacuate power;RE project developers gaining access to transmission and ability to sell power to private off-takers</c:v>
                </c:pt>
                <c:pt idx="34">
                  <c:v>ICLEI AFrica </c:v>
                </c:pt>
              </c:strCache>
            </c:strRef>
          </c:cat>
          <c:val>
            <c:numRef>
              <c:f>PivotTables!$AO$6:$AO$41</c:f>
              <c:numCache>
                <c:formatCode>_-[$R-1C09]* #\ ##0_-;\-[$R-1C09]* #\ ##0_-;_-[$R-1C09]* "-"??_-;_-@_-</c:formatCode>
                <c:ptCount val="35"/>
                <c:pt idx="0">
                  <c:v>665658000</c:v>
                </c:pt>
                <c:pt idx="1">
                  <c:v>380376000</c:v>
                </c:pt>
                <c:pt idx="2">
                  <c:v>380376000</c:v>
                </c:pt>
                <c:pt idx="3">
                  <c:v>294791400</c:v>
                </c:pt>
                <c:pt idx="4">
                  <c:v>206328163.74000001</c:v>
                </c:pt>
                <c:pt idx="5">
                  <c:v>180678600</c:v>
                </c:pt>
                <c:pt idx="6">
                  <c:v>157166326.74000001</c:v>
                </c:pt>
                <c:pt idx="7">
                  <c:v>88334032.350374997</c:v>
                </c:pt>
                <c:pt idx="8">
                  <c:v>85584600</c:v>
                </c:pt>
                <c:pt idx="9">
                  <c:v>64505430.000000007</c:v>
                </c:pt>
                <c:pt idx="10">
                  <c:v>58532998.5</c:v>
                </c:pt>
                <c:pt idx="11">
                  <c:v>57056400</c:v>
                </c:pt>
                <c:pt idx="12">
                  <c:v>55622065.5</c:v>
                </c:pt>
                <c:pt idx="13">
                  <c:v>51480846.831</c:v>
                </c:pt>
                <c:pt idx="14">
                  <c:v>51480846.831</c:v>
                </c:pt>
                <c:pt idx="15">
                  <c:v>47890395</c:v>
                </c:pt>
                <c:pt idx="16">
                  <c:v>38037600</c:v>
                </c:pt>
                <c:pt idx="17">
                  <c:v>24497782.350375</c:v>
                </c:pt>
                <c:pt idx="18">
                  <c:v>21998412</c:v>
                </c:pt>
                <c:pt idx="19">
                  <c:v>19547100</c:v>
                </c:pt>
                <c:pt idx="20">
                  <c:v>19547100</c:v>
                </c:pt>
                <c:pt idx="21">
                  <c:v>11981844</c:v>
                </c:pt>
                <c:pt idx="22">
                  <c:v>9685500</c:v>
                </c:pt>
                <c:pt idx="23">
                  <c:v>6656580</c:v>
                </c:pt>
                <c:pt idx="24">
                  <c:v>6345873.5625</c:v>
                </c:pt>
                <c:pt idx="25">
                  <c:v>5833312.5</c:v>
                </c:pt>
                <c:pt idx="26">
                  <c:v>5230170</c:v>
                </c:pt>
                <c:pt idx="27">
                  <c:v>4402500</c:v>
                </c:pt>
                <c:pt idx="28">
                  <c:v>4385132.1375000002</c:v>
                </c:pt>
                <c:pt idx="29">
                  <c:v>3233196</c:v>
                </c:pt>
                <c:pt idx="30">
                  <c:v>2914093.1145000001</c:v>
                </c:pt>
                <c:pt idx="31">
                  <c:v>2113200</c:v>
                </c:pt>
                <c:pt idx="32">
                  <c:v>2072851.0874999999</c:v>
                </c:pt>
                <c:pt idx="33">
                  <c:v>2071587.5699999998</c:v>
                </c:pt>
                <c:pt idx="34">
                  <c:v>396819.33749999997</c:v>
                </c:pt>
              </c:numCache>
            </c:numRef>
          </c:val>
          <c:extLst>
            <c:ext xmlns:c16="http://schemas.microsoft.com/office/drawing/2014/chart" uri="{C3380CC4-5D6E-409C-BE32-E72D297353CC}">
              <c16:uniqueId val="{00000002-A81F-EB42-8841-9DAEF5939089}"/>
            </c:ext>
          </c:extLst>
        </c:ser>
        <c:dLbls>
          <c:showLegendKey val="0"/>
          <c:showVal val="0"/>
          <c:showCatName val="0"/>
          <c:showSerName val="0"/>
          <c:showPercent val="0"/>
          <c:showBubbleSize val="0"/>
        </c:dLbls>
        <c:gapWidth val="33"/>
        <c:overlap val="-30"/>
        <c:axId val="267205871"/>
        <c:axId val="266723711"/>
      </c:barChart>
      <c:catAx>
        <c:axId val="267205871"/>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Implementing Entity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723711"/>
        <c:crosses val="autoZero"/>
        <c:auto val="1"/>
        <c:lblAlgn val="ctr"/>
        <c:lblOffset val="100"/>
        <c:noMultiLvlLbl val="0"/>
      </c:catAx>
      <c:valAx>
        <c:axId val="2667237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R-1C09]* #\ ##0_-;\-[$R-1C09]* #\ ##0_-;_-[$R-1C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7205871"/>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[JET Grants Register 2024Q1 - 2024Q3 - Published-3.xlsx]PivotTables!PivotTable5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'Status: B. Pledged', 'Portfolios': </a:t>
            </a:r>
            <a:r>
              <a:rPr lang="en-US">
                <a:solidFill>
                  <a:srgbClr val="DD5A13"/>
                </a:solidFill>
              </a:rPr>
              <a:t>JT-Mpumalanga</a:t>
            </a:r>
            <a:r>
              <a:rPr lang="en-US"/>
              <a:t> and </a:t>
            </a:r>
            <a:r>
              <a:rPr lang="en-US">
                <a:solidFill>
                  <a:srgbClr val="DD5A13"/>
                </a:solidFill>
              </a:rPr>
              <a:t>Green hydrogen</a:t>
            </a:r>
            <a:r>
              <a:rPr lang="en-US"/>
              <a:t> have noticeably higher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ED7331"/>
          </a:solidFill>
          <a:ln>
            <a:noFill/>
          </a:ln>
          <a:effectLst/>
        </c:spPr>
      </c:pivotFmt>
      <c:pivotFmt>
        <c:idx val="3"/>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ED7331"/>
          </a:solidFill>
          <a:ln>
            <a:noFill/>
          </a:ln>
          <a:effectLst/>
        </c:spPr>
      </c:pivotFmt>
      <c:pivotFmt>
        <c:idx val="5"/>
        <c:spPr>
          <a:solidFill>
            <a:srgbClr val="ED7331"/>
          </a:solidFill>
          <a:ln>
            <a:noFill/>
          </a:ln>
          <a:effectLst/>
        </c:spPr>
      </c:pivotFmt>
      <c:pivotFmt>
        <c:idx val="6"/>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ED7331"/>
          </a:solidFill>
          <a:ln>
            <a:noFill/>
          </a:ln>
          <a:effectLst/>
        </c:spPr>
      </c:pivotFmt>
      <c:pivotFmt>
        <c:idx val="8"/>
        <c:spPr>
          <a:solidFill>
            <a:srgbClr val="ED7331"/>
          </a:solidFill>
          <a:ln>
            <a:noFill/>
          </a:ln>
          <a:effectLst/>
        </c:spPr>
      </c:pivotFmt>
    </c:pivotFmts>
    <c:plotArea>
      <c:layout/>
      <c:barChart>
        <c:barDir val="bar"/>
        <c:grouping val="stacked"/>
        <c:varyColors val="0"/>
        <c:ser>
          <c:idx val="0"/>
          <c:order val="0"/>
          <c:tx>
            <c:strRef>
              <c:f>PivotTables!$BA$5</c:f>
              <c:strCache>
                <c:ptCount val="1"/>
                <c:pt idx="0">
                  <c:v>Total</c:v>
                </c:pt>
              </c:strCache>
            </c:strRef>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1-249D-1547-A8F7-FCEA6B121250}"/>
              </c:ext>
            </c:extLst>
          </c:dPt>
          <c:dPt>
            <c:idx val="1"/>
            <c:invertIfNegative val="0"/>
            <c:bubble3D val="0"/>
            <c:spPr>
              <a:solidFill>
                <a:srgbClr val="ED7331"/>
              </a:solidFill>
              <a:ln>
                <a:noFill/>
              </a:ln>
              <a:effectLst/>
            </c:spPr>
            <c:extLst>
              <c:ext xmlns:c16="http://schemas.microsoft.com/office/drawing/2014/chart" uri="{C3380CC4-5D6E-409C-BE32-E72D297353CC}">
                <c16:uniqueId val="{00000003-249D-1547-A8F7-FCEA6B121250}"/>
              </c:ext>
            </c:extLst>
          </c:dPt>
          <c:cat>
            <c:strRef>
              <c:f>PivotTables!$AZ$6:$AZ$11</c:f>
              <c:strCache>
                <c:ptCount val="5"/>
                <c:pt idx="0">
                  <c:v>JT-Mpumalanga</c:v>
                </c:pt>
                <c:pt idx="1">
                  <c:v>Green hydrogen</c:v>
                </c:pt>
                <c:pt idx="2">
                  <c:v>Electricity</c:v>
                </c:pt>
                <c:pt idx="3">
                  <c:v>Skills</c:v>
                </c:pt>
                <c:pt idx="4">
                  <c:v>Municipalities</c:v>
                </c:pt>
              </c:strCache>
            </c:strRef>
          </c:cat>
          <c:val>
            <c:numRef>
              <c:f>PivotTables!$BA$6:$BA$11</c:f>
              <c:numCache>
                <c:formatCode>_-[$R-1C09]* #\ ##0_-;\-[$R-1C09]* #\ ##0_-;_-[$R-1C09]* "-"??_-;_-@_-</c:formatCode>
                <c:ptCount val="5"/>
                <c:pt idx="0">
                  <c:v>1662207900</c:v>
                </c:pt>
                <c:pt idx="1">
                  <c:v>1388372400</c:v>
                </c:pt>
                <c:pt idx="2">
                  <c:v>682784887.25999999</c:v>
                </c:pt>
                <c:pt idx="3">
                  <c:v>399394800</c:v>
                </c:pt>
                <c:pt idx="4">
                  <c:v>137025171</c:v>
                </c:pt>
              </c:numCache>
            </c:numRef>
          </c:val>
          <c:extLst>
            <c:ext xmlns:c16="http://schemas.microsoft.com/office/drawing/2014/chart" uri="{C3380CC4-5D6E-409C-BE32-E72D297353CC}">
              <c16:uniqueId val="{00000004-249D-1547-A8F7-FCEA6B121250}"/>
            </c:ext>
          </c:extLst>
        </c:ser>
        <c:dLbls>
          <c:showLegendKey val="0"/>
          <c:showVal val="0"/>
          <c:showCatName val="0"/>
          <c:showSerName val="0"/>
          <c:showPercent val="0"/>
          <c:showBubbleSize val="0"/>
        </c:dLbls>
        <c:gapWidth val="33"/>
        <c:overlap val="100"/>
        <c:axId val="88314303"/>
        <c:axId val="169663583"/>
      </c:barChart>
      <c:catAx>
        <c:axId val="88314303"/>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Portfolios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63583"/>
        <c:crosses val="autoZero"/>
        <c:auto val="1"/>
        <c:lblAlgn val="ctr"/>
        <c:lblOffset val="100"/>
        <c:noMultiLvlLbl val="0"/>
      </c:catAx>
      <c:valAx>
        <c:axId val="16966358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R-1C09]* #\ ##0_-;\-[$R-1C09]* #\ ##0_-;_-[$R-1C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14303"/>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'Portfolios: Electricity', 'Unique ID': </a:t>
            </a:r>
            <a:r>
              <a:rPr lang="en-US">
                <a:solidFill>
                  <a:srgbClr val="DD5A13"/>
                </a:solidFill>
              </a:rPr>
              <a:t>EU008</a:t>
            </a:r>
            <a:r>
              <a:rPr lang="en-US"/>
              <a:t> has noticeably higher 'Total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ED7331"/>
          </a:solidFill>
          <a:ln>
            <a:noFill/>
          </a:ln>
          <a:effectLst/>
        </c:spPr>
      </c:pivotFmt>
      <c:pivotFmt>
        <c:idx val="4"/>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ED7331"/>
          </a:solidFill>
          <a:ln>
            <a:noFill/>
          </a:ln>
          <a:effectLst/>
        </c:spPr>
      </c:pivotFmt>
    </c:pivotFmts>
    <c:plotArea>
      <c:layout/>
      <c:barChart>
        <c:barDir val="bar"/>
        <c:grouping val="clustered"/>
        <c:varyColors val="0"/>
        <c:ser>
          <c:idx val="0"/>
          <c:order val="0"/>
          <c:tx>
            <c:v>Total</c:v>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1-30D7-1244-A7F9-5211AA380ED4}"/>
              </c:ext>
            </c:extLst>
          </c:dPt>
          <c:cat>
            <c:strLit>
              <c:ptCount val="45"/>
              <c:pt idx="0">
                <c:v>EU008</c:v>
              </c:pt>
              <c:pt idx="1">
                <c:v>GR009</c:v>
              </c:pt>
              <c:pt idx="2">
                <c:v>GR008</c:v>
              </c:pt>
              <c:pt idx="3">
                <c:v>GR003</c:v>
              </c:pt>
              <c:pt idx="4">
                <c:v>GR002</c:v>
              </c:pt>
              <c:pt idx="5">
                <c:v>US014</c:v>
              </c:pt>
              <c:pt idx="6">
                <c:v>GR001</c:v>
              </c:pt>
              <c:pt idx="7">
                <c:v>UK001</c:v>
              </c:pt>
              <c:pt idx="8">
                <c:v>GR006</c:v>
              </c:pt>
              <c:pt idx="9">
                <c:v>SW008</c:v>
              </c:pt>
              <c:pt idx="10">
                <c:v>DK002</c:v>
              </c:pt>
              <c:pt idx="11">
                <c:v>GR005</c:v>
              </c:pt>
              <c:pt idx="12">
                <c:v>DK006</c:v>
              </c:pt>
              <c:pt idx="13">
                <c:v>UK048</c:v>
              </c:pt>
              <c:pt idx="14">
                <c:v>UK049</c:v>
              </c:pt>
              <c:pt idx="15">
                <c:v>DK001</c:v>
              </c:pt>
              <c:pt idx="16">
                <c:v>EU002</c:v>
              </c:pt>
              <c:pt idx="17">
                <c:v>UK002</c:v>
              </c:pt>
              <c:pt idx="18">
                <c:v>US013</c:v>
              </c:pt>
              <c:pt idx="19">
                <c:v>UK053</c:v>
              </c:pt>
              <c:pt idx="20">
                <c:v>SW007</c:v>
              </c:pt>
              <c:pt idx="21">
                <c:v>SW005</c:v>
              </c:pt>
              <c:pt idx="22">
                <c:v>US015</c:v>
              </c:pt>
              <c:pt idx="23">
                <c:v>FR001</c:v>
              </c:pt>
              <c:pt idx="24">
                <c:v>US021</c:v>
              </c:pt>
              <c:pt idx="25">
                <c:v>US037</c:v>
              </c:pt>
              <c:pt idx="26">
                <c:v>US023</c:v>
              </c:pt>
              <c:pt idx="27">
                <c:v>UK050</c:v>
              </c:pt>
              <c:pt idx="28">
                <c:v>UK012</c:v>
              </c:pt>
              <c:pt idx="29">
                <c:v>US008</c:v>
              </c:pt>
              <c:pt idx="30">
                <c:v>US009</c:v>
              </c:pt>
              <c:pt idx="31">
                <c:v>US007</c:v>
              </c:pt>
              <c:pt idx="32">
                <c:v>FR002</c:v>
              </c:pt>
              <c:pt idx="33">
                <c:v>US012</c:v>
              </c:pt>
              <c:pt idx="34">
                <c:v>UK025</c:v>
              </c:pt>
              <c:pt idx="35">
                <c:v>FR020</c:v>
              </c:pt>
              <c:pt idx="36">
                <c:v>UK005</c:v>
              </c:pt>
              <c:pt idx="37">
                <c:v>FR007</c:v>
              </c:pt>
              <c:pt idx="38">
                <c:v>EU001</c:v>
              </c:pt>
              <c:pt idx="39">
                <c:v>DK014</c:v>
              </c:pt>
              <c:pt idx="40">
                <c:v>UK003</c:v>
              </c:pt>
              <c:pt idx="41">
                <c:v>US022</c:v>
              </c:pt>
              <c:pt idx="42">
                <c:v>US024</c:v>
              </c:pt>
              <c:pt idx="43">
                <c:v>UK013</c:v>
              </c:pt>
              <c:pt idx="44">
                <c:v>EU004</c:v>
              </c:pt>
            </c:strLit>
          </c:cat>
          <c:val>
            <c:numLit>
              <c:formatCode>General</c:formatCode>
              <c:ptCount val="45"/>
              <c:pt idx="0">
                <c:v>665658000</c:v>
              </c:pt>
              <c:pt idx="1">
                <c:v>380376000</c:v>
              </c:pt>
              <c:pt idx="2">
                <c:v>380376000</c:v>
              </c:pt>
              <c:pt idx="3">
                <c:v>294791400</c:v>
              </c:pt>
              <c:pt idx="4">
                <c:v>180678600</c:v>
              </c:pt>
              <c:pt idx="5">
                <c:v>152065273.25999999</c:v>
              </c:pt>
              <c:pt idx="6">
                <c:v>133131600.00000001</c:v>
              </c:pt>
              <c:pt idx="7">
                <c:v>88334032.350374997</c:v>
              </c:pt>
              <c:pt idx="8">
                <c:v>85584600</c:v>
              </c:pt>
              <c:pt idx="9">
                <c:v>64505430.000000007</c:v>
              </c:pt>
              <c:pt idx="10">
                <c:v>58532998.5</c:v>
              </c:pt>
              <c:pt idx="11">
                <c:v>57056400</c:v>
              </c:pt>
              <c:pt idx="12">
                <c:v>55622065.5</c:v>
              </c:pt>
              <c:pt idx="13">
                <c:v>51480846.831</c:v>
              </c:pt>
              <c:pt idx="14">
                <c:v>51480846.831</c:v>
              </c:pt>
              <c:pt idx="15">
                <c:v>47890395</c:v>
              </c:pt>
              <c:pt idx="16">
                <c:v>38037600</c:v>
              </c:pt>
              <c:pt idx="17">
                <c:v>24497782.350375</c:v>
              </c:pt>
              <c:pt idx="18">
                <c:v>24034726.739999998</c:v>
              </c:pt>
              <c:pt idx="19">
                <c:v>21998412</c:v>
              </c:pt>
              <c:pt idx="20">
                <c:v>19547100</c:v>
              </c:pt>
              <c:pt idx="21">
                <c:v>19547100</c:v>
              </c:pt>
              <c:pt idx="22">
                <c:v>17165277.059999999</c:v>
              </c:pt>
              <c:pt idx="23">
                <c:v>11981844</c:v>
              </c:pt>
              <c:pt idx="24">
                <c:v>10213800</c:v>
              </c:pt>
              <c:pt idx="25">
                <c:v>9685500</c:v>
              </c:pt>
              <c:pt idx="26">
                <c:v>9584964.5099999998</c:v>
              </c:pt>
              <c:pt idx="27">
                <c:v>6345873.5625</c:v>
              </c:pt>
              <c:pt idx="28">
                <c:v>5833312.5</c:v>
              </c:pt>
              <c:pt idx="29">
                <c:v>5283000</c:v>
              </c:pt>
              <c:pt idx="30">
                <c:v>5283000</c:v>
              </c:pt>
              <c:pt idx="31">
                <c:v>5283000</c:v>
              </c:pt>
              <c:pt idx="32">
                <c:v>5230170</c:v>
              </c:pt>
              <c:pt idx="33">
                <c:v>4402500</c:v>
              </c:pt>
              <c:pt idx="34">
                <c:v>4385132.1375000002</c:v>
              </c:pt>
              <c:pt idx="35">
                <c:v>3803760</c:v>
              </c:pt>
              <c:pt idx="36">
                <c:v>2914093.1145000001</c:v>
              </c:pt>
              <c:pt idx="37">
                <c:v>2852820</c:v>
              </c:pt>
              <c:pt idx="38">
                <c:v>2852820</c:v>
              </c:pt>
              <c:pt idx="39">
                <c:v>2113200</c:v>
              </c:pt>
              <c:pt idx="40">
                <c:v>2072851.0874999999</c:v>
              </c:pt>
              <c:pt idx="41">
                <c:v>2071587.5699999998</c:v>
              </c:pt>
              <c:pt idx="42">
                <c:v>1449848.91</c:v>
              </c:pt>
              <c:pt idx="43">
                <c:v>396819.33749999997</c:v>
              </c:pt>
              <c:pt idx="44">
                <c:v>380376</c:v>
              </c:pt>
            </c:numLit>
          </c:val>
          <c:extLst>
            <c:ext xmlns:c16="http://schemas.microsoft.com/office/drawing/2014/chart" uri="{C3380CC4-5D6E-409C-BE32-E72D297353CC}">
              <c16:uniqueId val="{00000002-30D7-1244-A7F9-5211AA380ED4}"/>
            </c:ext>
          </c:extLst>
        </c:ser>
        <c:dLbls>
          <c:showLegendKey val="0"/>
          <c:showVal val="0"/>
          <c:showCatName val="0"/>
          <c:showSerName val="0"/>
          <c:showPercent val="0"/>
          <c:showBubbleSize val="0"/>
        </c:dLbls>
        <c:gapWidth val="33"/>
        <c:overlap val="-30"/>
        <c:axId val="1953754080"/>
        <c:axId val="1953726128"/>
      </c:barChart>
      <c:catAx>
        <c:axId val="1953754080"/>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Unique ID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3726128"/>
        <c:crosses val="autoZero"/>
        <c:auto val="1"/>
        <c:lblAlgn val="ctr"/>
        <c:lblOffset val="100"/>
        <c:noMultiLvlLbl val="0"/>
      </c:catAx>
      <c:valAx>
        <c:axId val="19537261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3754080"/>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Source</a:t>
            </a:r>
            <a:r>
              <a:rPr lang="en-US"/>
              <a:t>: </a:t>
            </a:r>
            <a:r>
              <a:rPr lang="en-US">
                <a:solidFill>
                  <a:srgbClr val="DD5A13"/>
                </a:solidFill>
              </a:rPr>
              <a:t>Germany</a:t>
            </a:r>
            <a:r>
              <a:rPr lang="en-US"/>
              <a:t> has noticeably higher Total in 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a:noFill/>
          </a:ln>
          <a:effectLst/>
        </c:spPr>
      </c:pivotFmt>
      <c:pivotFmt>
        <c:idx val="2"/>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ED7331"/>
          </a:solidFill>
          <a:ln>
            <a:noFill/>
          </a:ln>
          <a:effectLst/>
        </c:spPr>
      </c:pivotFmt>
      <c:pivotFmt>
        <c:idx val="4"/>
        <c:spPr>
          <a:solidFill>
            <a:srgbClr val="D2D2D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ED7331"/>
          </a:solidFill>
          <a:ln>
            <a:noFill/>
          </a:ln>
          <a:effectLst/>
        </c:spPr>
      </c:pivotFmt>
    </c:pivotFmts>
    <c:plotArea>
      <c:layout/>
      <c:barChart>
        <c:barDir val="bar"/>
        <c:grouping val="clustered"/>
        <c:varyColors val="0"/>
        <c:ser>
          <c:idx val="0"/>
          <c:order val="0"/>
          <c:tx>
            <c:v>Total</c:v>
          </c:tx>
          <c:spPr>
            <a:solidFill>
              <a:srgbClr val="D2D2D2"/>
            </a:solidFill>
            <a:ln>
              <a:noFill/>
            </a:ln>
            <a:effectLst/>
          </c:spPr>
          <c:invertIfNegative val="0"/>
          <c:dPt>
            <c:idx val="0"/>
            <c:invertIfNegative val="0"/>
            <c:bubble3D val="0"/>
            <c:spPr>
              <a:solidFill>
                <a:srgbClr val="ED7331"/>
              </a:solidFill>
              <a:ln>
                <a:noFill/>
              </a:ln>
              <a:effectLst/>
            </c:spPr>
            <c:extLst>
              <c:ext xmlns:c16="http://schemas.microsoft.com/office/drawing/2014/chart" uri="{C3380CC4-5D6E-409C-BE32-E72D297353CC}">
                <c16:uniqueId val="{00000001-8A7F-2443-A992-8027279BBCEF}"/>
              </c:ext>
            </c:extLst>
          </c:dPt>
          <c:cat>
            <c:strLit>
              <c:ptCount val="10"/>
              <c:pt idx="0">
                <c:v>Germany</c:v>
              </c:pt>
              <c:pt idx="1">
                <c:v>Netherlands</c:v>
              </c:pt>
              <c:pt idx="2">
                <c:v>European Union</c:v>
              </c:pt>
              <c:pt idx="3">
                <c:v>United States</c:v>
              </c:pt>
              <c:pt idx="4">
                <c:v>Switzerland </c:v>
              </c:pt>
              <c:pt idx="5">
                <c:v>ACT-IP</c:v>
              </c:pt>
              <c:pt idx="6">
                <c:v>United Kingdom</c:v>
              </c:pt>
              <c:pt idx="7">
                <c:v>Denmark</c:v>
              </c:pt>
              <c:pt idx="8">
                <c:v>France</c:v>
              </c:pt>
              <c:pt idx="9">
                <c:v>Canada</c:v>
              </c:pt>
            </c:strLit>
          </c:cat>
          <c:val>
            <c:numLit>
              <c:formatCode>General</c:formatCode>
              <c:ptCount val="10"/>
              <c:pt idx="0">
                <c:v>5023055268</c:v>
              </c:pt>
              <c:pt idx="1">
                <c:v>1069955195.860653</c:v>
              </c:pt>
              <c:pt idx="2">
                <c:v>1001530008</c:v>
              </c:pt>
              <c:pt idx="3">
                <c:v>981517968.77999997</c:v>
              </c:pt>
              <c:pt idx="4">
                <c:v>891537567.814188</c:v>
              </c:pt>
              <c:pt idx="5">
                <c:v>880500000</c:v>
              </c:pt>
              <c:pt idx="6">
                <c:v>780748838.77823436</c:v>
              </c:pt>
              <c:pt idx="7">
                <c:v>372308859</c:v>
              </c:pt>
              <c:pt idx="8">
                <c:v>72984645</c:v>
              </c:pt>
              <c:pt idx="9">
                <c:v>22082940</c:v>
              </c:pt>
            </c:numLit>
          </c:val>
          <c:extLst>
            <c:ext xmlns:c16="http://schemas.microsoft.com/office/drawing/2014/chart" uri="{C3380CC4-5D6E-409C-BE32-E72D297353CC}">
              <c16:uniqueId val="{00000002-8A7F-2443-A992-8027279BBCEF}"/>
            </c:ext>
          </c:extLst>
        </c:ser>
        <c:dLbls>
          <c:showLegendKey val="0"/>
          <c:showVal val="0"/>
          <c:showCatName val="0"/>
          <c:showSerName val="0"/>
          <c:showPercent val="0"/>
          <c:showBubbleSize val="0"/>
        </c:dLbls>
        <c:gapWidth val="33"/>
        <c:overlap val="-30"/>
        <c:axId val="171484895"/>
        <c:axId val="171481343"/>
      </c:barChart>
      <c:catAx>
        <c:axId val="171484895"/>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Source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481343"/>
        <c:crosses val="autoZero"/>
        <c:auto val="1"/>
        <c:lblAlgn val="ctr"/>
        <c:lblOffset val="100"/>
        <c:noMultiLvlLbl val="0"/>
      </c:catAx>
      <c:valAx>
        <c:axId val="1714813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ZAR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484895"/>
        <c:crosses val="max"/>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Project</a:t>
            </a:r>
            <a:r>
              <a:rPr lang="en-US" baseline="0"/>
              <a:t> </a:t>
            </a:r>
            <a:r>
              <a:rPr lang="en-US"/>
              <a:t>Status: </a:t>
            </a:r>
            <a:r>
              <a:rPr lang="en-US">
                <a:solidFill>
                  <a:srgbClr val="DD5A13"/>
                </a:solidFill>
              </a:rPr>
              <a:t>C. Implementation Phase</a:t>
            </a:r>
            <a:r>
              <a:rPr lang="en-US"/>
              <a:t> accounts for the majority of Total Funds in</a:t>
            </a:r>
            <a:r>
              <a:rPr lang="en-US" baseline="0"/>
              <a:t> </a:t>
            </a:r>
            <a:r>
              <a:rPr lang="en-US"/>
              <a:t>ZAR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D2D2D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ED733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D2D2D2"/>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D2D2D2"/>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D2D2D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D2D2D2"/>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ED733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D2D2D2"/>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D2D2D2"/>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D2D2D2"/>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ED733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D2D2D2"/>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doughnutChart>
        <c:varyColors val="1"/>
        <c:ser>
          <c:idx val="0"/>
          <c:order val="0"/>
          <c:tx>
            <c:v>Total</c:v>
          </c:tx>
          <c:spPr>
            <a:solidFill>
              <a:srgbClr val="D2D2D2"/>
            </a:solidFill>
          </c:spPr>
          <c:dPt>
            <c:idx val="0"/>
            <c:bubble3D val="0"/>
            <c:spPr>
              <a:solidFill>
                <a:srgbClr val="D2D2D2"/>
              </a:solidFill>
              <a:ln w="19050">
                <a:solidFill>
                  <a:schemeClr val="lt1"/>
                </a:solidFill>
              </a:ln>
              <a:effectLst/>
            </c:spPr>
            <c:extLst>
              <c:ext xmlns:c16="http://schemas.microsoft.com/office/drawing/2014/chart" uri="{C3380CC4-5D6E-409C-BE32-E72D297353CC}">
                <c16:uniqueId val="{00000001-7F7B-BC43-AB65-435F6A6B65DC}"/>
              </c:ext>
            </c:extLst>
          </c:dPt>
          <c:dPt>
            <c:idx val="1"/>
            <c:bubble3D val="0"/>
            <c:spPr>
              <a:solidFill>
                <a:srgbClr val="ED7331"/>
              </a:solidFill>
              <a:ln w="19050">
                <a:solidFill>
                  <a:schemeClr val="lt1"/>
                </a:solidFill>
              </a:ln>
              <a:effectLst/>
            </c:spPr>
            <c:extLst>
              <c:ext xmlns:c16="http://schemas.microsoft.com/office/drawing/2014/chart" uri="{C3380CC4-5D6E-409C-BE32-E72D297353CC}">
                <c16:uniqueId val="{00000003-7F7B-BC43-AB65-435F6A6B65DC}"/>
              </c:ext>
            </c:extLst>
          </c:dPt>
          <c:dPt>
            <c:idx val="2"/>
            <c:bubble3D val="0"/>
            <c:spPr>
              <a:solidFill>
                <a:srgbClr val="D2D2D2"/>
              </a:solidFill>
              <a:ln w="19050">
                <a:solidFill>
                  <a:schemeClr val="lt1"/>
                </a:solidFill>
              </a:ln>
              <a:effectLst/>
            </c:spPr>
            <c:extLst>
              <c:ext xmlns:c16="http://schemas.microsoft.com/office/drawing/2014/chart" uri="{C3380CC4-5D6E-409C-BE32-E72D297353CC}">
                <c16:uniqueId val="{00000005-7F7B-BC43-AB65-435F6A6B65D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7B-BC43-AB65-435F6A6B65D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7B-BC43-AB65-435F6A6B65D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7B-BC43-AB65-435F6A6B65D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Lit>
              <c:ptCount val="3"/>
              <c:pt idx="0">
                <c:v>B. Pledged</c:v>
              </c:pt>
              <c:pt idx="1">
                <c:v>C. Implementation Phase</c:v>
              </c:pt>
              <c:pt idx="2">
                <c:v>D. Completed</c:v>
              </c:pt>
            </c:strLit>
          </c:cat>
          <c:val>
            <c:numLit>
              <c:formatCode>General</c:formatCode>
              <c:ptCount val="3"/>
              <c:pt idx="0">
                <c:v>4269785158.2600002</c:v>
              </c:pt>
              <c:pt idx="1">
                <c:v>6367308847.0391922</c:v>
              </c:pt>
              <c:pt idx="2">
                <c:v>459127285.93388432</c:v>
              </c:pt>
            </c:numLit>
          </c:val>
          <c:extLst>
            <c:ext xmlns:c16="http://schemas.microsoft.com/office/drawing/2014/chart" uri="{C3380CC4-5D6E-409C-BE32-E72D297353CC}">
              <c16:uniqueId val="{00000006-7F7B-BC43-AB65-435F6A6B65D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12700</xdr:colOff>
      <xdr:row>2</xdr:row>
      <xdr:rowOff>12700</xdr:rowOff>
    </xdr:from>
    <xdr:to>
      <xdr:col>9</xdr:col>
      <xdr:colOff>50800</xdr:colOff>
      <xdr:row>20</xdr:row>
      <xdr:rowOff>25400</xdr:rowOff>
    </xdr:to>
    <xdr:graphicFrame macro="">
      <xdr:nvGraphicFramePr>
        <xdr:cNvPr id="2" name="Chart 1" descr="Chart type: Line. For 'Source: Netherlands', Total ZAR increases over 'End Date'.&#10;&#10;Description automatically generated">
          <a:extLst>
            <a:ext uri="{FF2B5EF4-FFF2-40B4-BE49-F238E27FC236}">
              <a16:creationId xmlns:a16="http://schemas.microsoft.com/office/drawing/2014/main" id="{CA161BEB-9EBB-C341-A55D-0B7465C88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0</xdr:colOff>
      <xdr:row>2</xdr:row>
      <xdr:rowOff>0</xdr:rowOff>
    </xdr:from>
    <xdr:to>
      <xdr:col>30</xdr:col>
      <xdr:colOff>444500</xdr:colOff>
      <xdr:row>16</xdr:row>
      <xdr:rowOff>76200</xdr:rowOff>
    </xdr:to>
    <xdr:graphicFrame macro="">
      <xdr:nvGraphicFramePr>
        <xdr:cNvPr id="4" name="Chart 3" descr="Chart type: Stacked Bar. For 'Source: Germany', 'Portfolios': Electricity and Green hydrogen have noticeably higher 'Total ZAR'.&#10;&#10;Description automatically generated">
          <a:extLst>
            <a:ext uri="{FF2B5EF4-FFF2-40B4-BE49-F238E27FC236}">
              <a16:creationId xmlns:a16="http://schemas.microsoft.com/office/drawing/2014/main" id="{B924FD1E-80D4-FE42-BEE7-99533E94B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0</xdr:colOff>
      <xdr:row>2</xdr:row>
      <xdr:rowOff>0</xdr:rowOff>
    </xdr:from>
    <xdr:to>
      <xdr:col>38</xdr:col>
      <xdr:colOff>444500</xdr:colOff>
      <xdr:row>16</xdr:row>
      <xdr:rowOff>76200</xdr:rowOff>
    </xdr:to>
    <xdr:graphicFrame macro="">
      <xdr:nvGraphicFramePr>
        <xdr:cNvPr id="5" name="Chart 4" descr="Chart type: Doughnut. For 'Portfolios: JT-Mpumalanga', 'Status': B. Pledged accounts for the majority of 'Total ZAR'.&#10;&#10;Description automatically generated">
          <a:extLst>
            <a:ext uri="{FF2B5EF4-FFF2-40B4-BE49-F238E27FC236}">
              <a16:creationId xmlns:a16="http://schemas.microsoft.com/office/drawing/2014/main" id="{8CB80871-6602-2A45-B2C6-1EFB2497E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2</xdr:row>
      <xdr:rowOff>0</xdr:rowOff>
    </xdr:from>
    <xdr:to>
      <xdr:col>50</xdr:col>
      <xdr:colOff>12700</xdr:colOff>
      <xdr:row>41</xdr:row>
      <xdr:rowOff>0</xdr:rowOff>
    </xdr:to>
    <xdr:graphicFrame macro="">
      <xdr:nvGraphicFramePr>
        <xdr:cNvPr id="6" name="Chart 5" descr="Chart type: Clustered Bar. For 'Portfolios: Electricity', 'Implementing Entity': DFIs (DBSA, AFD and EIB) and municpalities. has noticeably higher 'Total ZAR'.&#10;&#10;Description automatically generated">
          <a:extLst>
            <a:ext uri="{FF2B5EF4-FFF2-40B4-BE49-F238E27FC236}">
              <a16:creationId xmlns:a16="http://schemas.microsoft.com/office/drawing/2014/main" id="{12CE1853-91B3-1A47-A138-F88EA0DA5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0</xdr:colOff>
      <xdr:row>2</xdr:row>
      <xdr:rowOff>0</xdr:rowOff>
    </xdr:from>
    <xdr:to>
      <xdr:col>58</xdr:col>
      <xdr:colOff>444500</xdr:colOff>
      <xdr:row>16</xdr:row>
      <xdr:rowOff>76200</xdr:rowOff>
    </xdr:to>
    <xdr:graphicFrame macro="">
      <xdr:nvGraphicFramePr>
        <xdr:cNvPr id="7" name="Chart 6" descr="Chart type: Stacked Bar. For 'Status: B. Pledged', 'Portfolios': JT-Mpumalanga and Green hydrogen have noticeably higher 'Total ZAR'.&#10;&#10;Description automatically generated">
          <a:extLst>
            <a:ext uri="{FF2B5EF4-FFF2-40B4-BE49-F238E27FC236}">
              <a16:creationId xmlns:a16="http://schemas.microsoft.com/office/drawing/2014/main" id="{68DD2279-1CFC-E247-B687-9A4EA6F84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2</xdr:row>
      <xdr:rowOff>0</xdr:rowOff>
    </xdr:from>
    <xdr:to>
      <xdr:col>21</xdr:col>
      <xdr:colOff>812800</xdr:colOff>
      <xdr:row>42</xdr:row>
      <xdr:rowOff>177800</xdr:rowOff>
    </xdr:to>
    <xdr:graphicFrame macro="">
      <xdr:nvGraphicFramePr>
        <xdr:cNvPr id="8" name="Chart 7" descr="Chart type: Clustered Bar. For 'Portfolios: Electricity', 'Unique ID': EU008 has noticeably higher 'Total ZAR'.&#10;&#10;Description automatically generated">
          <a:extLst>
            <a:ext uri="{FF2B5EF4-FFF2-40B4-BE49-F238E27FC236}">
              <a16:creationId xmlns:a16="http://schemas.microsoft.com/office/drawing/2014/main" id="{1C052C5B-3941-3F4D-B830-C23C31F87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825499</xdr:colOff>
      <xdr:row>1</xdr:row>
      <xdr:rowOff>0</xdr:rowOff>
    </xdr:from>
    <xdr:to>
      <xdr:col>11</xdr:col>
      <xdr:colOff>11998</xdr:colOff>
      <xdr:row>16</xdr:row>
      <xdr:rowOff>38100</xdr:rowOff>
    </xdr:to>
    <xdr:pic>
      <xdr:nvPicPr>
        <xdr:cNvPr id="2" name="Picture 1">
          <a:extLst>
            <a:ext uri="{FF2B5EF4-FFF2-40B4-BE49-F238E27FC236}">
              <a16:creationId xmlns:a16="http://schemas.microsoft.com/office/drawing/2014/main" id="{68579BC5-9FFE-912F-4F33-AE2D2E1596F8}"/>
            </a:ext>
          </a:extLst>
        </xdr:cNvPr>
        <xdr:cNvPicPr>
          <a:picLocks noChangeAspect="1"/>
        </xdr:cNvPicPr>
      </xdr:nvPicPr>
      <xdr:blipFill>
        <a:blip xmlns:r="http://schemas.openxmlformats.org/officeDocument/2006/relationships" r:embed="rId1"/>
        <a:stretch>
          <a:fillRect/>
        </a:stretch>
      </xdr:blipFill>
      <xdr:spPr>
        <a:xfrm>
          <a:off x="5130799" y="203200"/>
          <a:ext cx="4964999" cy="2984500"/>
        </a:xfrm>
        <a:prstGeom prst="rect">
          <a:avLst/>
        </a:prstGeom>
      </xdr:spPr>
    </xdr:pic>
    <xdr:clientData/>
  </xdr:twoCellAnchor>
  <xdr:twoCellAnchor>
    <xdr:from>
      <xdr:col>12</xdr:col>
      <xdr:colOff>0</xdr:colOff>
      <xdr:row>1</xdr:row>
      <xdr:rowOff>0</xdr:rowOff>
    </xdr:from>
    <xdr:to>
      <xdr:col>17</xdr:col>
      <xdr:colOff>812800</xdr:colOff>
      <xdr:row>16</xdr:row>
      <xdr:rowOff>177800</xdr:rowOff>
    </xdr:to>
    <xdr:graphicFrame macro="">
      <xdr:nvGraphicFramePr>
        <xdr:cNvPr id="3" name="Chart 2" descr="Chart type: Clustered Bar. 'Source': Germany has noticeably higher 'Total ZAR'.&#10;&#10;Description automatically generated">
          <a:extLst>
            <a:ext uri="{FF2B5EF4-FFF2-40B4-BE49-F238E27FC236}">
              <a16:creationId xmlns:a16="http://schemas.microsoft.com/office/drawing/2014/main" id="{E0B9BC5A-282C-8B49-A872-DF3E61736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1</xdr:row>
      <xdr:rowOff>0</xdr:rowOff>
    </xdr:from>
    <xdr:to>
      <xdr:col>25</xdr:col>
      <xdr:colOff>0</xdr:colOff>
      <xdr:row>15</xdr:row>
      <xdr:rowOff>63500</xdr:rowOff>
    </xdr:to>
    <xdr:graphicFrame macro="">
      <xdr:nvGraphicFramePr>
        <xdr:cNvPr id="4" name="Chart 3" descr="Chart type: Doughnut. 'Status': C. Implementation Phase accounts for the majority of 'Total ZAR'.&#10;&#10;Description automatically generated">
          <a:extLst>
            <a:ext uri="{FF2B5EF4-FFF2-40B4-BE49-F238E27FC236}">
              <a16:creationId xmlns:a16="http://schemas.microsoft.com/office/drawing/2014/main" id="{53BC34FE-4CC9-F643-A4CA-BC93A7662C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ark Everett" id="{68F0ED2A-84D8-6D44-BC55-43DC15A5AC90}" userId="358ddd89038f7913" providerId="Windows Liv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k Everett" refreshedDate="45588.566871527779" createdVersion="8" refreshedVersion="8" minRefreshableVersion="3" recordCount="164" xr:uid="{DCB31B44-A2EE-3B42-954B-7602A56FC5DF}">
  <cacheSource type="worksheet">
    <worksheetSource name="Table819"/>
  </cacheSource>
  <cacheFields count="13">
    <cacheField name="Unique ID" numFmtId="0">
      <sharedItems count="164">
        <s v="EU001"/>
        <s v="EU002"/>
        <s v="EU003"/>
        <s v="EU004"/>
        <s v="EU005"/>
        <s v="EU006"/>
        <s v="EU007"/>
        <s v="EU008"/>
        <s v="UK001"/>
        <s v="UK002"/>
        <s v="UK003"/>
        <s v="UK005"/>
        <s v="UK006"/>
        <s v="UK007"/>
        <s v="UK008"/>
        <s v="UK009"/>
        <s v="UK011"/>
        <s v="UK012"/>
        <s v="UK013"/>
        <s v="UK014"/>
        <s v="UK015"/>
        <s v="UK016"/>
        <s v="UK017"/>
        <s v="UK018"/>
        <s v="UK019"/>
        <s v="UK020"/>
        <s v="UK021"/>
        <s v="UK022"/>
        <s v="UK023"/>
        <s v="UK024"/>
        <s v="UK025"/>
        <s v="UK026"/>
        <s v="UK027"/>
        <s v="UK028"/>
        <s v="UK029"/>
        <s v="UK030"/>
        <s v="UK031"/>
        <s v="UK033"/>
        <s v="UK034"/>
        <s v="UK035"/>
        <s v="UK037"/>
        <s v="UK039"/>
        <s v="UK042"/>
        <s v="UK043"/>
        <s v="UK044"/>
        <s v="UK045"/>
        <s v="UK046"/>
        <s v="UK047"/>
        <s v="UK048"/>
        <s v="UK049"/>
        <s v="UK050"/>
        <s v="UK051"/>
        <s v="UK053"/>
        <s v="GR001"/>
        <s v="GR002"/>
        <s v="GR003"/>
        <s v="GR004"/>
        <s v="GR005"/>
        <s v="GR006"/>
        <s v="GR007"/>
        <s v="GR008"/>
        <s v="GR009"/>
        <s v="GR010"/>
        <s v="GR011"/>
        <s v="GR012"/>
        <s v="GR013"/>
        <s v="GR014"/>
        <s v="GR015"/>
        <s v="GR016"/>
        <s v="GR017"/>
        <s v="GR018"/>
        <s v="GR019"/>
        <s v="GR020*"/>
        <s v="GR021"/>
        <s v="GR022"/>
        <s v="FR001"/>
        <s v="FR002"/>
        <s v="FR003"/>
        <s v="FR004"/>
        <s v="FR005"/>
        <s v="FR006"/>
        <s v="FR007"/>
        <s v="FR009"/>
        <s v="FR010"/>
        <s v="FR011"/>
        <s v="FR013"/>
        <s v="FR014"/>
        <s v="FR016"/>
        <s v="FR017"/>
        <s v="FR018"/>
        <s v="FR019"/>
        <s v="FR020"/>
        <s v="FR021"/>
        <s v="FR022"/>
        <s v="FR024"/>
        <s v="US001"/>
        <s v="US002"/>
        <s v="US003"/>
        <s v="US004"/>
        <s v="US006"/>
        <s v="US007"/>
        <s v="US008"/>
        <s v="US009"/>
        <s v="US010"/>
        <s v="US011"/>
        <s v="US012"/>
        <s v="US013"/>
        <s v="US014"/>
        <s v="US015"/>
        <s v="US017"/>
        <s v="US018"/>
        <s v="US019"/>
        <s v="US020"/>
        <s v="US021"/>
        <s v="US022"/>
        <s v="US023"/>
        <s v="US024"/>
        <s v="US026"/>
        <s v="US027"/>
        <s v="US028"/>
        <s v="US029"/>
        <s v="US030"/>
        <s v="US031"/>
        <s v="US032"/>
        <s v="US033"/>
        <s v="US034"/>
        <s v="US035"/>
        <s v="US037"/>
        <s v="US038"/>
        <s v="US039"/>
        <s v="ACTIP001"/>
        <s v="ACTIP002"/>
        <s v="DK001"/>
        <s v="DK002"/>
        <s v="DK003"/>
        <s v="DK004"/>
        <s v="DK005"/>
        <s v="DK006"/>
        <s v="DK008"/>
        <s v="DK009"/>
        <s v="DK010"/>
        <s v="DK012"/>
        <s v="DK014"/>
        <s v="NL001"/>
        <s v="NL002"/>
        <s v="NL003"/>
        <s v="NL004"/>
        <s v="NL005"/>
        <s v="NL006"/>
        <s v="CAN001"/>
        <s v="CAN002"/>
        <s v="CAN003"/>
        <s v="CAN004"/>
        <s v="SW001"/>
        <s v="SW002"/>
        <s v="SW003"/>
        <s v="SW004"/>
        <s v="SW005"/>
        <s v="SW006"/>
        <s v="SW007"/>
        <s v="SW008"/>
        <s v="SW009"/>
        <s v="SW010"/>
        <s v="SW011"/>
      </sharedItems>
    </cacheField>
    <cacheField name="Portfolios" numFmtId="0">
      <sharedItems count="6">
        <s v="Electricity"/>
        <s v="JT-Mpumalanga"/>
        <s v="Municipalities"/>
        <s v="Skills"/>
        <s v="NEVs"/>
        <s v="Green hydrogen"/>
      </sharedItems>
    </cacheField>
    <cacheField name="Priority Areas " numFmtId="0">
      <sharedItems containsBlank="1"/>
    </cacheField>
    <cacheField name="Total US$ " numFmtId="166">
      <sharedItems containsSemiMixedTypes="0" containsString="0" containsNumber="1" minValue="9219" maxValue="54000000"/>
    </cacheField>
    <cacheField name="Total ZAR" numFmtId="165">
      <sharedItems containsSemiMixedTypes="0" containsString="0" containsNumber="1" minValue="162346.59" maxValue="950940000"/>
    </cacheField>
    <cacheField name="Source" numFmtId="0">
      <sharedItems count="10">
        <s v="European Union"/>
        <s v="United Kingdom"/>
        <s v="Germany"/>
        <s v="France"/>
        <s v="United States"/>
        <s v="ACT-IP"/>
        <s v="Denmark"/>
        <s v="Netherlands"/>
        <s v="Canada"/>
        <s v="Switzerland "/>
      </sharedItems>
    </cacheField>
    <cacheField name="Implementing Entity" numFmtId="0">
      <sharedItems containsBlank="1" count="128">
        <s v="Presidential Climate Commission "/>
        <s v="WWF SA, Green Cape, Democracy Works Foundation, Association for Rural Advancement, Social Change Assistance Trust"/>
        <s v="National Treasury: COGTA, SALGA, selected municipalities"/>
        <s v="University of Cape Town"/>
        <s v="University of Johannesburg"/>
        <s v="DFIs (DBSA, AFD and EIB) and municpalities."/>
        <s v="World Bank"/>
        <s v="World Bank "/>
        <s v="Ricardo and ECO"/>
        <s v="CamNexus and Green Crowd"/>
        <s v="Council for Scientific and Industrial Research (CSIR)"/>
        <s v="National Business Initiative (NBI)"/>
        <s v="PwC, GreenCape, National Business Initiative"/>
        <s v="GreenCape "/>
        <s v="Trade &amp; Industrial Policy Strategies (TIPS) (Lead), National Labour and Economic Development Institute (NALEDI), Peta Wolpe, GroundWork"/>
        <s v="Trade Forward Southern Africa and partners "/>
        <s v="ICLEI AFrica "/>
        <s v="Arup South Africa "/>
        <s v="Sustainable Energy Africa (SEA)"/>
        <s v="C40 Cities"/>
        <s v="Nelson Mandela University and Cenex"/>
        <s v="InnovateUK, Worldbank IFC"/>
        <s v="South African Institute of International Affairs (SAIIA), Trade and Industrial Policy Strategies (TIPS), University of Cape Town (UCT) Energy Research Centre, KPMG, Bambili Energy"/>
        <s v="NAACAM and Elangeni TVET College"/>
        <s v="IOPSA,Blu Lever, NBI"/>
        <s v="Council for Scientific and Industrial Research (CSIR) and University of Cape Town (UCT)"/>
        <s v="UK PACT secondee recruited "/>
        <s v="Ricardo"/>
        <s v="Carbon Trust and Green Building Council of South Africa "/>
        <s v="Loughborough University and UCT"/>
        <s v="IFC"/>
        <s v="University of Loughborough, University of Cape Town, Imperial University and University of Central London"/>
        <s v="PwC"/>
        <s v="University of Pretoria, Pinsent Masons Africa, Kim Adonis Consulting, Cornerstone Infrastructure Advisers, Enterprises University of Pretoria_x000a_"/>
        <s v="Ikigai Capital (UK); DNV (UK); Thames Estuary Growth Board (UK); University of Kent Public University; University College London (UK); National Gas Transmission (UK), PLC"/>
        <s v="GreenCrowd and CamNexus"/>
        <s v="South African Medical Research Council"/>
        <s v="BCG"/>
        <s v="Technoserve"/>
        <s v="Public Affairs Research Institute (PARI); ALIGN"/>
        <s v="PwC and TBC"/>
        <s v="Palladium"/>
        <s v="IFC and Business Partners Limited"/>
        <s v="IFC and Nedbank"/>
        <s v="Intially PWC, then Adam Smith International and Pegasys Consortium"/>
        <s v="NEPAD Business Foundation, Siemnans, Letsema Consulting "/>
        <s v="ESKOM"/>
        <s v="DMRE, Eskom, NT, SALGA, NERSA, Universities, NTCSA, SACN and the private sector"/>
        <s v="DMRE, Presidency, MoE, OV, NERSA, Eskom, NTCSA, SALGA, Municipalities"/>
        <s v="DTIC"/>
        <s v="DMRE; private sector, civil society, other relevant national institutions"/>
        <s v="DMRE"/>
        <s v="Green Cape, NBI, TIPS, Yes4Youth, WWF SA"/>
        <s v="Infra Impact, KfW; Community Trusts"/>
        <s v="Infra Impact, KfW_x000a_not agreed yet"/>
        <s v="DMRE/ Presidency/ IDC; Municipalities, Provincial Government, State-Owned Entities, private sector"/>
        <s v="IDC, KfW (not agreed yet); Private and public companies "/>
        <s v="Investment and Infrastructure Office in the Presidency; DTIC, DMRE, IDC, DFFE, DPWI, SABS, HySA, SANEDI"/>
        <s v="NBI, KfW; TVET Colleges (False Bay and West Cost (WC), Umfolozi (KZN), Tshwane North and Ekhurhuleni West (GT), Evender (MP)) with neigbouring industrial parks and settlements"/>
        <s v="CPUT, KfW; Selected TVET Colleges, ESKOM, IPPs"/>
        <s v="DHET; TVET colleges, training providers, industry associations, NGOs"/>
        <s v="The Presidency"/>
        <s v="DFFE; Municipalities, Provinces"/>
        <s v="DFFE; As per Technical Cooperation Agreement between GER and SA"/>
        <m/>
        <s v="GEAPP; Eskom"/>
        <s v="CSIR; DHET, Eskom"/>
        <s v="ICLEI; Steve Tshwete Municipality"/>
        <s v="UCT; Presidency, Steve Tswhete Local Municipality, CoGTA, MP Province"/>
        <s v="Indalo Inclusive South Africa; Community stakeholders in Dipaleseng District Municipality, Mpumalanga (First phase).                             _x000a_GreenCape, CORC, Peco Power, Community stakeholders in Nomzamo, Ermelo Municipality. (second phase)"/>
        <s v="CST; PCC"/>
        <s v="DBSA"/>
        <s v="Peta Wolpe and Wendy Annecke"/>
        <s v="Oneworld; IDC"/>
        <s v="Western Cape Economic Development Partnership; PCC"/>
        <s v="JET Labour Center through TIPS; Presidency, with support from the NT"/>
        <s v="TIPS; Presidency, with support from the NT"/>
        <s v="Environmental Justice Fund; Community-led environmental justice organisations and networks"/>
        <s v="UCT-DPRU; Presidency, with support from the NT"/>
        <s v="Wits-REAL; Presidency"/>
        <s v="HSRC, UCT-SALDRU, PCC"/>
        <s v="Reshma Sheoraj / Jeanine BEDNAR-GIYOSE "/>
        <s v="Candidate to be selected soon"/>
        <s v="to be recruited"/>
        <s v="JET IP PMU"/>
        <s v="IPP Office; Local communities where REIPPP projects are developed"/>
        <s v="LBNL, USAID, SANEDI; DMRE"/>
        <s v="DOE, USAID; DMRE"/>
        <s v="State, Winrock; South African Women"/>
        <s v="IPPs needing to evacuate power;RE project developers gaining access to transmission and ability to sell power to private off-takers"/>
        <s v="SALGA,MMSEZ,TBD"/>
        <s v="Municipalities"/>
        <s v="Kouga, Msukaligwa (Mpamalanga), Emalahleni, and Polokwane TBC"/>
        <s v="City of Cape Town"/>
        <s v="Women, Municipalities"/>
        <s v="Deloitte and NARUC; NERSA, SALGA, DMRE"/>
        <s v="USAID and NARUC; NERSA, SALGA, DMRE"/>
        <s v="National Business Initiative"/>
        <s v="To be implemented by CIF implementing agencies (ie. WB, AfDB, IFC); TBD"/>
        <s v="Eskom, NERSA, DMRE, IPPO"/>
        <s v="Eskom, DMRE, IPPO, NERSA"/>
        <s v="GreenCape, Mpumalanga Green Cluster Agency (MGCA)"/>
        <s v="GreenCape Alternative Service Delivery Unit (ASDU), Community Organisation Research Council(CORC), MGCA"/>
        <s v="(SANEDI, CSIR) Danish Technical University, Danish Energy Agency."/>
        <s v="NBI, NUMSA, NUM, BUSA, SEIFSA, Western Cape Province, 3F and Confederation of Danish Industries"/>
        <s v="DFC, Danish Embassy, Danish universities and the participating students"/>
        <s v="Teach A Man to Fish"/>
        <s v="SAWEA"/>
        <s v="Multiple partners; Eskom, Eskom employees, local communities, municipalities, province, knowledge institutes"/>
        <s v="South African Institute for International Affairs; youth"/>
        <s v="Municipalities, DWS, Water agencies"/>
        <s v="TBD"/>
        <s v="Multiple partners amongst others Talbot, Nuffic SA, Green Cape, Gas Unie, RHDHV SA, Rebel SA, Blueberry Concepts "/>
        <s v="CNV International"/>
        <s v="Institute for Economic Justice (local partner); Just Urban Transition and the Congress of South African Trade Unions"/>
        <s v="African Centre for a Green Economy (local partner)"/>
        <s v="International Institute for Sustainable Development (local partner)"/>
        <s v="SouthSouthNorth Projects (Africa) NPC (local partner)"/>
        <s v="SECO, INCA Portfolio Managers, Municipalities"/>
        <s v="SECO, National Treasury; iLembe Municipalities, KZN"/>
        <s v="SECO, National Treasury; Municipalities in Free State &amp; Mpumalanga"/>
        <s v="DHET, GIZ"/>
        <s v="SECO, GIZ; SALGA, SEA"/>
        <s v="SECO, World Bank; National Treasury, metros"/>
        <s v="SECO, UNIDO; the dtic, NCPC-SA"/>
        <s v="SECO, IFC; InvestSA, the dtic, selected metros &amp; investment agencies"/>
        <s v="SECO, IFC; Metropolitan municipalities, secondary cities"/>
        <s v="DBSA Water Partnership Office "/>
      </sharedItems>
    </cacheField>
    <cacheField name="Institutional / South African Partner" numFmtId="0">
      <sharedItems containsBlank="1"/>
    </cacheField>
    <cacheField name="Beneficiary" numFmtId="0">
      <sharedItems containsBlank="1"/>
    </cacheField>
    <cacheField name="Status " numFmtId="9">
      <sharedItems count="3">
        <s v="D. Completed"/>
        <s v="C. Implementation Phase"/>
        <s v="B. Pledged"/>
      </sharedItems>
    </cacheField>
    <cacheField name="Description" numFmtId="0">
      <sharedItems containsBlank="1" longText="1"/>
    </cacheField>
    <cacheField name="Date of Financing Agreement Signed*" numFmtId="167">
      <sharedItems containsNonDate="0" containsDate="1" containsString="0" containsBlank="1" minDate="2021-02-01T00:00:00" maxDate="2025-07-01T00:00:00"/>
    </cacheField>
    <cacheField name="End Date" numFmtId="167">
      <sharedItems containsNonDate="0" containsDate="1" containsString="0" containsBlank="1" minDate="2021-12-31T00:00:00" maxDate="2031-01-01T00:00:00" count="56">
        <d v="2023-12-29T00:00:00"/>
        <d v="2024-12-31T00:00:00"/>
        <d v="2023-12-31T00:00:00"/>
        <d v="2027-12-31T00:00:00"/>
        <d v="2026-12-31T00:00:00"/>
        <d v="2025-12-30T00:00:00"/>
        <d v="2023-11-30T00:00:00"/>
        <d v="2023-03-31T00:00:00"/>
        <d v="2025-03-31T00:00:00"/>
        <d v="2022-11-30T00:00:00"/>
        <d v="2024-02-29T00:00:00"/>
        <d v="2023-10-31T00:00:00"/>
        <d v="2022-05-31T00:00:00"/>
        <d v="2022-08-31T00:00:00"/>
        <d v="2025-12-31T00:00:00"/>
        <d v="2023-06-30T00:00:00"/>
        <d v="2022-12-31T00:00:00"/>
        <d v="2022-04-30T00:00:00"/>
        <d v="2024-03-31T00:00:00"/>
        <d v="2022-01-21T00:00:00"/>
        <d v="2023-09-30T00:00:00"/>
        <d v="2023-03-30T00:00:00"/>
        <d v="2026-03-30T00:00:00"/>
        <d v="2027-08-04T00:00:00"/>
        <d v="2025-06-30T00:00:00"/>
        <d v="2025-09-30T00:00:00"/>
        <d v="2025-12-12T00:00:00"/>
        <d v="2025-03-01T00:00:00"/>
        <d v="2026-03-31T00:00:00"/>
        <d v="2024-11-30T00:00:00"/>
        <d v="2027-07-30T00:00:00"/>
        <d v="2027-08-30T00:00:00"/>
        <d v="2026-08-31T00:00:00"/>
        <d v="2027-08-31T00:00:00"/>
        <d v="2028-12-31T00:00:00"/>
        <d v="2030-12-31T00:00:00"/>
        <d v="2029-12-31T00:00:00"/>
        <d v="2028-12-30T00:00:00"/>
        <d v="2025-05-31T00:00:00"/>
        <d v="2027-12-30T00:00:00"/>
        <m/>
        <d v="2025-11-01T00:00:00"/>
        <d v="2027-11-01T00:00:00"/>
        <d v="2024-12-30T00:00:00"/>
        <d v="2024-07-31T00:00:00"/>
        <d v="2024-03-30T00:00:00"/>
        <d v="2027-07-11T00:00:00"/>
        <d v="2027-09-30T00:00:00"/>
        <d v="2024-03-29T00:00:00"/>
        <d v="2023-08-31T00:00:00"/>
        <d v="2024-04-02T00:00:00"/>
        <d v="2021-12-31T00:00:00"/>
        <d v="2026-01-31T00:00:00"/>
        <d v="2025-10-31T00:00:00"/>
        <d v="2026-06-30T00:00:00"/>
        <d v="2026-12-30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4">
  <r>
    <x v="0"/>
    <x v="0"/>
    <s v="Transmission"/>
    <n v="162000"/>
    <n v="2852820"/>
    <x v="0"/>
    <x v="0"/>
    <m/>
    <m/>
    <x v="0"/>
    <s v="Presidential Climate Commission (PCC) Energy Modelling: The funding is to facilitate the PCC work on granular net-zero pathways for the economy and to support South African policy makers to access South African climate related socio-economic modelling focusing on key sectors (transport and energy) and key provinces (Mpumalanga and Eastern Cape). "/>
    <d v="2022-01-01T00:00:00"/>
    <x v="0"/>
  </r>
  <r>
    <x v="1"/>
    <x v="0"/>
    <s v="Manufacturing and localising clean energy value chain"/>
    <n v="2160000"/>
    <n v="38037600"/>
    <x v="0"/>
    <x v="1"/>
    <m/>
    <m/>
    <x v="1"/>
    <s v="The Climate Change Champions: The Climate Change Champions, funded under the thematic programme “Civil Society Organisations (CSOs) and Local Authorities (LAs) 2014-2020”, resulted in the allocation of 5 grants. The specific objective of the call is to increase the participation of South African CSOs in tackling climate change, mitigating greenhouse gases emissions and adapting to its adverse effects. The aim is to tackle climate change while enhancing gender equality and participation of the youth."/>
    <d v="2021-11-01T00:00:00"/>
    <x v="1"/>
  </r>
  <r>
    <x v="2"/>
    <x v="1"/>
    <s v="Manufacturing and localising clean energy value chain"/>
    <n v="86400"/>
    <n v="1521504"/>
    <x v="0"/>
    <x v="0"/>
    <m/>
    <m/>
    <x v="1"/>
    <s v="PCC Stakeholder and community engagement: The  funding is to facilitate PCC stakeholder and community engagements in Mpumalanga and Eastern Cape with knowledge products, workshops, dialogues and exchanges of experiences. The PCC will decide on the proposed focus on investment opportunities arising from just transition."/>
    <d v="2023-01-02T00:00:00"/>
    <x v="1"/>
  </r>
  <r>
    <x v="3"/>
    <x v="0"/>
    <s v="Manufacturing and localising clean energy value chain"/>
    <n v="21600"/>
    <n v="380376"/>
    <x v="0"/>
    <x v="0"/>
    <m/>
    <m/>
    <x v="0"/>
    <s v="PCC Communication: Translation into Venda, Zulu, and isiXhosa of the Just Transition Framework to enhance information accessibility. Additionally, funding will be used to create communication materials and infographics to bolster the PCC stakeholder engagement process."/>
    <d v="2023-01-01T00:00:00"/>
    <x v="2"/>
  </r>
  <r>
    <x v="4"/>
    <x v="2"/>
    <s v="Capability and capacity"/>
    <n v="16200000.000000002"/>
    <n v="285282000"/>
    <x v="0"/>
    <x v="2"/>
    <m/>
    <m/>
    <x v="1"/>
    <s v="Bridging Inequalities through Greening of Municipal Services: The action will support selected South African cities to address some of these key service delivery challenges while focusing on smart and green solutions, enabled by digitalisation and the use of technologies. It will help build adaptive capacity and capabilities in the face of climate change, resource depletion, financial shocks, growing inequality and poverty, in particular inequality in sustainable access to (greener) water, energy or waste management services."/>
    <d v="2023-04-01T00:00:00"/>
    <x v="3"/>
  </r>
  <r>
    <x v="5"/>
    <x v="3"/>
    <s v="Mobilise PSET funding for JET"/>
    <n v="172800"/>
    <n v="3043008"/>
    <x v="0"/>
    <x v="3"/>
    <m/>
    <m/>
    <x v="1"/>
    <s v="Response of the Earth System to overshoot, Climate neutrality and negative Emissions under Horizon Europe: The RESCUE project will improve knowledge and understanding in area of this call: “Climate and Earth System responses to climate neutrality and net negative emissions”, by pursuing two overall objectives: 1) Quantify the climate and Earth system responses to pathways achieving climate neutrality by Carbon Dioxide Removal (CDR) deployment with and without temperature overshoot, and 2) Assess the potential role of CDR in reducing net GHG emissions, as well as its potential environmental risks and co-benefits."/>
    <d v="2022-01-01T00:00:00"/>
    <x v="4"/>
  </r>
  <r>
    <x v="6"/>
    <x v="3"/>
    <s v="Mobilise PSET funding for JET"/>
    <n v="270000"/>
    <n v="4754700"/>
    <x v="0"/>
    <x v="4"/>
    <m/>
    <m/>
    <x v="1"/>
    <s v="Circular economy industrial symbiosis under Horizon Europe: Circular economy industrial symbiosis "/>
    <d v="2022-01-01T00:00:00"/>
    <x v="4"/>
  </r>
  <r>
    <x v="7"/>
    <x v="0"/>
    <s v="IIPSA Infrastructure Investment Programme for SA"/>
    <n v="37800000"/>
    <n v="665658000"/>
    <x v="0"/>
    <x v="5"/>
    <m/>
    <m/>
    <x v="1"/>
    <s v="Grant to facilitate infrastructure investment of municipalities: Infrastructure Investment Programme for SA (IIPSA) was launched in 2014. It focuses on blending of the EU grants with loans from DFIs in support of infrastructure projects. Sustainable energy, transport, green hyrdogen, water are among the focal sectors of the programme. Approx. €35M will be programmed with focus on electricity generation, battery storage, transport, green hydrogen and water."/>
    <d v="2021-11-01T00:00:00"/>
    <x v="5"/>
  </r>
  <r>
    <x v="8"/>
    <x v="0"/>
    <s v="Coal plant decommissioning "/>
    <n v="5016129.0374999996"/>
    <n v="88334032.350374997"/>
    <x v="1"/>
    <x v="6"/>
    <s v="Presidential Climate Commission (PCC)"/>
    <s v="Eskom, DMRP, PCC"/>
    <x v="1"/>
    <s v="ESMAP (Energy Sector Management Assistance Program): Energy Sector Management Assistance Programme (ESMAP) to support the decommissioning of coal-fired power plants in SA. This project supports the Government of South Africa and Eskom to scope the technical, economic, environmental, and social practicalities of closing and/or repurposing coal-fired power plants. The objective is to strengthen the environmental and social technical readiness of decommissioning coal-fired power stations in South Africa."/>
    <d v="2021-11-01T00:00:00"/>
    <x v="4"/>
  </r>
  <r>
    <x v="9"/>
    <x v="0"/>
    <s v="Coal plant decommissioning "/>
    <n v="1391129.0375000001"/>
    <n v="24497782.350375"/>
    <x v="1"/>
    <x v="7"/>
    <s v="Presidential Climate Commission (PCC)"/>
    <s v="Eskom, DMRP, PCC"/>
    <x v="1"/>
    <s v="South Africa Programmatic Advisory Services and Analytics  (supported through ESMAP): The second ESMAP programme establishes the provision of Advisory Services and Analytics (including and advisory board) activities for South Africa. "/>
    <d v="2022-01-01T00:00:00"/>
    <x v="4"/>
  </r>
  <r>
    <x v="10"/>
    <x v="0"/>
    <s v="Distribution "/>
    <n v="117708.75"/>
    <n v="2072851.0874999999"/>
    <x v="1"/>
    <x v="8"/>
    <s v="City of Cape Town "/>
    <m/>
    <x v="0"/>
    <s v="City of Cape Town Grid Regulation Skill-share (UK PACT): Skill-share TA to support the City of Cape Town with the integration of small scale embedded generation onto their grids including support for design standard of networks, embedded generation impact studies, and assistance on financing mechanisms and funding models."/>
    <d v="2022-01-01T00:00:00"/>
    <x v="6"/>
  </r>
  <r>
    <x v="11"/>
    <x v="0"/>
    <s v="Building capacity for success"/>
    <n v="165479.45000000001"/>
    <n v="2914093.1145000001"/>
    <x v="1"/>
    <x v="9"/>
    <s v="Department of Trade, Industry and Competition (DTIC) "/>
    <m/>
    <x v="0"/>
    <s v="Energy One Stop Shop Skill-share (UK PACT): This skill-share supported the development of an efficient streamlined system through process mapping of regulation approval requirements for new energy generation projects. This will accelerate the approval/certification process of more renewable energy projects adding capacity to the grid. The focus was on municipal approval processes. "/>
    <d v="2023-01-01T00:00:00"/>
    <x v="6"/>
  </r>
  <r>
    <x v="12"/>
    <x v="1"/>
    <s v="Diversifying local economies"/>
    <n v="432670"/>
    <n v="7619318.7000000002"/>
    <x v="1"/>
    <x v="10"/>
    <s v="Department of Forestry, Fisheries and the Environment (DFFE), Mpumalanga Provincial Government "/>
    <m/>
    <x v="0"/>
    <s v="Mapping Mitigation and Adaptation Pathways for a JET - Support for Sector Job Resilience Planning (UK PACT): The National Employment Vulnerability Assessment (NEVA) conducted by the DFFE and DTIC, identified a number of sectors/value chains as being vulnerable to climate change or that will be impacted by the just transition. In each of these sectors the NEVA identified a number of initiatives (particularly within the coal value-chain) with real job creation potential that need capacity and technical support to build into bankable opportunities. This project developed implementable business cases for a number of these initiatives. The respective business cases are for pilots in Mpumalanga including: Just Transition social protection; coal waste beneficiation; biomass from invasive plant species feasibility; and warning systems and tools to ensure energy and food security._x000a_"/>
    <d v="2021-11-01T00:00:00"/>
    <x v="7"/>
  </r>
  <r>
    <x v="13"/>
    <x v="1"/>
    <s v="Diversifying local economies"/>
    <n v="645311.25"/>
    <n v="11363931.112499999"/>
    <x v="1"/>
    <x v="11"/>
    <s v="Department of Forestry, Fisheries and the Enviornment (DFFE)"/>
    <s v="NBI Private Sector Membership, Business Unity South Africa (BUSA),"/>
    <x v="0"/>
    <s v="Just Transition Pathways Project (UK PACT): The project identified pathways for the private sector to contribute to both an accelerated low carbon transition and just transition.  It provided detailed key sectoral modelling and analysis of the technical and socio-economic benefits of rapid low carbon expansion and the impact on macroeconomic factors such as economic growth, employment etc."/>
    <d v="2021-11-01T00:00:00"/>
    <x v="7"/>
  </r>
  <r>
    <x v="14"/>
    <x v="1"/>
    <s v="Diversifying local economies"/>
    <n v="1154023.75"/>
    <n v="20322358.237500001"/>
    <x v="1"/>
    <x v="12"/>
    <s v="Low carbon businesses"/>
    <s v="Low carbon businesses"/>
    <x v="1"/>
    <s v="The UK funded Climate Finance Accelerator (CFA): Gives capacity building support to low carbon businesses and projects in agriculture, forestry, energy, transport, circular economy and water sectors; putting them in the best position to attract investment from financiers. Everlectric, Hohm Energy and Wetility are three of the successful projects from South Africa following the first phase of CFA. "/>
    <d v="2021-11-01T00:00:00"/>
    <x v="1"/>
  </r>
  <r>
    <x v="15"/>
    <x v="1"/>
    <s v="Policies for post-mining redevelopment"/>
    <n v="1637597.5"/>
    <n v="28838091.974999998"/>
    <x v="1"/>
    <x v="13"/>
    <m/>
    <m/>
    <x v="1"/>
    <s v="Development of a Green Economy Cluster Organisation to Support Mpumalanga’s Role in the Validation, Implementation and Follow-on Research of the South African Renewable Energy Masterplan (SAREM) (UK PACT): This project builds more substantively on ongoing work related to the development of the South African Renewable Energy Masterplan (SAREM). It draws on the success that GreenCape has achieved as the Western Cape’s green economy cluster organisation by helping to establish a similar green economy cluster organisation in Mpumalanga (launched in 2022). The newly established green economy cluster organisation will work on practical opportunities to support the research behind the SAREM, making a significant contribution to creating green economy jobs and investment opportunities as part of the implementation of SAREM."/>
    <d v="2021-02-01T00:00:00"/>
    <x v="8"/>
  </r>
  <r>
    <x v="16"/>
    <x v="1"/>
    <s v="Diversifying local economies"/>
    <n v="317027.5"/>
    <n v="5582854.2749999994"/>
    <x v="1"/>
    <x v="14"/>
    <s v="eMalahleni and Steve Tshwete Local Municipalities"/>
    <s v="Civil society and trade unions "/>
    <x v="0"/>
    <s v="Distilling the Just Energy Transition in South Africa: Harmonising Conflict and Seeking Opportunities (UK PACT): The project focused on the two most coal-dependant municipalities in Mpumalanga (eMalahleni and Steve Tshwete) to identify economic diversification activities that the municipalities can develop, in conjunction with the local communities to promote job creation within the local economies. "/>
    <d v="2021-02-01T00:00:00"/>
    <x v="9"/>
  </r>
  <r>
    <x v="17"/>
    <x v="0"/>
    <s v="Capacity building for renewable and greentech SMMEs"/>
    <n v="331250"/>
    <n v="5833312.5"/>
    <x v="1"/>
    <x v="15"/>
    <m/>
    <m/>
    <x v="0"/>
    <s v="Trade Forward Southern Africa (TFSA): Information, capacity building and support to South African renewable energy and greentech products to promote their products, and access new markets through addressing no-tarriff barriers to trade and supporting market linkages. Overarching work seeks to promote SOuthern african renewable and greentech companies and industry as growing and attaractive sector for investment. "/>
    <d v="2022-01-01T00:00:00"/>
    <x v="10"/>
  </r>
  <r>
    <x v="18"/>
    <x v="0"/>
    <s v="Diversifying local economies"/>
    <n v="22533.75"/>
    <n v="396819.33749999997"/>
    <x v="1"/>
    <x v="16"/>
    <s v="Northern Cape Provincial Government"/>
    <m/>
    <x v="0"/>
    <s v="Northern Cape Sustainable Energy Sector Support (Northern Cape SESS) (UK PACT): The Sustainable Energy Sector Support (SESS) project built a foundation for a sustainable energy transition within the Northern Cape and more broadly the green economy sector, for Small, Medium and Micro Enterprises to thrive. The SESS project worked with the Northern Cape Provincial Government to create an enabling environment for the creation of a small-scale sustainable energy industry via enhanced stakeholder networks, co-development and deployment of relevant knowledge products and training for the local sustainable energy sector to develop. "/>
    <d v="2023-02-01T00:00:00"/>
    <x v="11"/>
  </r>
  <r>
    <x v="19"/>
    <x v="2"/>
    <s v="Operational: Energy access design"/>
    <n v="153880"/>
    <n v="2709826.8"/>
    <x v="1"/>
    <x v="16"/>
    <s v="King Sabata Dalindyebo, Matzikama, Ray Nkonyeni and Walter Sisuslu Local Municipalities, Development Bank of Southern Africa (DBSA) "/>
    <m/>
    <x v="0"/>
    <s v="Alternative Financing Models for Embedded Generation of Renewable Energy in South African Municipalities (UK PACT): The project developed alternative finance models for embedded generation projects within secondary municipalities and built capacity within these municipalities to enable pre-feasibility studies for embedded generation projects that could ultimately be developed through the technical and financial support of the DBSA and Green Climate Fund’s ~R4bn Embedded Generation Investment Programme (EGIP).  "/>
    <d v="2021-11-01T00:00:00"/>
    <x v="12"/>
  </r>
  <r>
    <x v="20"/>
    <x v="2"/>
    <s v="Capability and capacity"/>
    <n v="187783.75"/>
    <n v="3306871.8374999999"/>
    <x v="1"/>
    <x v="17"/>
    <s v="eThekwini Metropolitan Municipality "/>
    <m/>
    <x v="0"/>
    <s v="eThekwini Regional Hydrogen Economy Study  (UK PACT): This project assessed the feasibility and pathway for establishing a hydrogen economy in eThekwini Metropolitan Municipality. The completed study, launched by the Mayor of eThekwini in March 2023, included a combination of literature reviews, trend analysis and engagements with various eThekwini Municipality departments and stakeholders. It focussed on the production of hydrogen, distribution and storage, and consumption in the transport sector and large energy and power industries. The study explored the potential role of hydrogen in storing intermittent renewable energy thereby accelerating its deployment."/>
    <d v="2021-11-01T00:00:00"/>
    <x v="13"/>
  </r>
  <r>
    <x v="21"/>
    <x v="2"/>
    <s v="Capability and capacity"/>
    <n v="378561.25"/>
    <n v="6666463.6124999998"/>
    <x v="1"/>
    <x v="18"/>
    <s v="City of Johannesburg "/>
    <m/>
    <x v="1"/>
    <s v="City of Johannesburg Climate Action Plan Implementation Tracking (UK PACT): This project is supporting the City of Johannesburg to establish the necessary data tools to bring civil society, business and other organisations into the process of monitoring the implementation of the City’s Climate Action Plan (CAP). The project will also explore new tools to reduce emissions through embedded generation support, net-zero building and land mapping for climate adaptation."/>
    <d v="2022-11-01T00:00:00"/>
    <x v="1"/>
  </r>
  <r>
    <x v="22"/>
    <x v="2"/>
    <s v="Collective planning"/>
    <n v="6412500"/>
    <n v="112924125"/>
    <x v="1"/>
    <x v="19"/>
    <s v="City of Johannesburg ,Tshwane, Cape Town, Mbombela and Drakenstein"/>
    <s v="City of Johannesburg ,Tshwane, Cape Town, Mbombela and Drakenstein"/>
    <x v="1"/>
    <s v="Urban Climate Action Programme (UCAP): Supporting key cities to implement and embed their net-zero climate action plans through their membership to the C40 Cities network. The Cities Finance Facility (CFF) is a multi-donor project preparation facility for low-carbon infrastructure which includes Cape Town and Drakenstein."/>
    <d v="2022-11-01T00:00:00"/>
    <x v="14"/>
  </r>
  <r>
    <x v="23"/>
    <x v="2"/>
    <s v="Collective planning"/>
    <n v="514537.5"/>
    <n v="9061005.375"/>
    <x v="1"/>
    <x v="13"/>
    <s v="City of Cape Town "/>
    <m/>
    <x v="0"/>
    <s v="Supporting the Effective Integration of Resilience Building, Alternative Service Delivery Approaches and Climate Change Adaptation and Mitigation into the Implementation of the City of Cape Town’s Infrastructure Planning and Delivery Framework (IPDF) (UK PACT): This project assisted with the evaluation of the City’s Infrastructure portfolio in order to understand the opportunities for City infrastructure planning and investment to respond to the environmental, social and economic risks associated with climate change. "/>
    <d v="2022-01-01T00:00:00"/>
    <x v="15"/>
  </r>
  <r>
    <x v="24"/>
    <x v="4"/>
    <s v="Capability and capacity"/>
    <n v="377552.5"/>
    <n v="6648699.5249999994"/>
    <x v="1"/>
    <x v="20"/>
    <s v="Department of Transport (DoT), Department of Forestry, Fisheries and the Environment (DFFE) and Western Cape Provincial Government (year 1) Tshwane, eThekwini and Nelson Mandela Bay Municipalities (year 2)"/>
    <m/>
    <x v="0"/>
    <s v="Shifting the Transport Paradigm – Electric Vehicles (UK PACT): The project built capacity, knowledge and information sharing at a national and local government level to promote electric vehicles (EVs) in line with the Department of Transport’s (DoT) Green Transport Strategy and promoted the uptake of and the development of the EV industry in South Africa."/>
    <d v="2021-11-01T00:00:00"/>
    <x v="7"/>
  </r>
  <r>
    <x v="25"/>
    <x v="4"/>
    <s v="Capability and capacity"/>
    <n v="185216.25"/>
    <n v="3261658.1625000001"/>
    <x v="1"/>
    <x v="18"/>
    <s v="City of Johannesburg "/>
    <m/>
    <x v="0"/>
    <s v="Electric Vehicle Readiness in City of Johannesburg (UK PACT): The project built the capacity of City of Johannesburg officials to make them EV ready, by building a deep understanding of the technical abilities of the city to plan for an EV future in terms of the provision of infrastructure and the setting of fair, yet attractive tariffs."/>
    <d v="2021-11-01T00:00:00"/>
    <x v="16"/>
  </r>
  <r>
    <x v="26"/>
    <x v="5"/>
    <s v="GH and Green Ammonia"/>
    <n v="2021655.9788453919"/>
    <n v="35601361.787467353"/>
    <x v="1"/>
    <x v="21"/>
    <m/>
    <m/>
    <x v="0"/>
    <s v="Clean Energy Innovation Facility (CEIF 1.0) Phase 1 - CEIF supported the decarbonisation of South Africa's industrial sector through funding piloting and demonstration projects which create a sustainable sift in the local Energy market i.e. piloting green ammonia production using green hydrogen."/>
    <d v="2021-11-01T00:00:00"/>
    <x v="7"/>
  </r>
  <r>
    <x v="27"/>
    <x v="3"/>
    <s v="Skills hub for JET"/>
    <n v="307736.25"/>
    <n v="5419235.3624999998"/>
    <x v="1"/>
    <x v="22"/>
    <s v="Department of Science and Innovation (DSI); Department of Higher Education and Training (DHET), Energy and Water SETA (EW SETA) "/>
    <m/>
    <x v="0"/>
    <s v="Building the Green Hydrogen Economy Just Energy Transition (UK PACT): Co-creating a Just Labour Transition through the Technical and Vocational Education and Training (TVET) College System in South Africa. The project fed into a specific component of the Hydrogen Society Roadmap which involves assessing the skills needed for transitioning to a green hydrogen economy in South Africa, with a particular focus on how to position the TVET college system to supply high-quality skills to meet the future GHE requirements. "/>
    <d v="2021-11-01T00:00:00"/>
    <x v="17"/>
  </r>
  <r>
    <x v="28"/>
    <x v="3"/>
    <s v="Mobilise PSET funding for JET"/>
    <n v="298632.5"/>
    <n v="5258918.3250000002"/>
    <x v="1"/>
    <x v="23"/>
    <m/>
    <m/>
    <x v="0"/>
    <s v="High Gear: Development of an NEV study to identify priority EV competencies necessary to support the growth and functioning of EV manufacturing and servicing sectors to enable more TVET graduates to enter the emerging industry"/>
    <d v="2022-11-01T00:00:00"/>
    <x v="15"/>
  </r>
  <r>
    <x v="29"/>
    <x v="3"/>
    <s v="Mobilise PSET funding for JET"/>
    <n v="95768.75"/>
    <n v="1686487.6875"/>
    <x v="1"/>
    <x v="24"/>
    <m/>
    <m/>
    <x v="0"/>
    <s v="Green Skills in IRM: 100 beneficiaries (IOPSA plumbing training graduates) provided with green skills training (solar geyser installations and  for improved employment and earning prospects. 100 beneficiaries (IOPSA graduates) provided with green skills training (solar pump installations and  for improved employment and earning prospects."/>
    <d v="2022-11-01T00:00:00"/>
    <x v="15"/>
  </r>
  <r>
    <x v="30"/>
    <x v="0"/>
    <s v="Energy Sector Decarbonisation Pathways "/>
    <n v="249013.75"/>
    <n v="4385132.1375000002"/>
    <x v="1"/>
    <x v="25"/>
    <s v="Presidential Climate Commission (PCC)"/>
    <m/>
    <x v="0"/>
    <s v="UK PACT Secondment - The job holder was seconded to the Secretariat of the Presidential Climate Commission (PCC): The secondee facilitated peer-to-peer exchange with the UK’s Climate Change Committee and supported the convening of stakeholder meetings in the lead up to the development of the Commission's Just Transition Framework."/>
    <d v="2022-10-01T00:00:00"/>
    <x v="18"/>
  </r>
  <r>
    <x v="31"/>
    <x v="3"/>
    <s v="UK PACT Secondment"/>
    <n v="30893.502628730388"/>
    <n v="544034.58129194216"/>
    <x v="1"/>
    <x v="26"/>
    <s v="Presidential Climate Commission (PCC)"/>
    <m/>
    <x v="0"/>
    <s v="UK PACT Secondment - Part 1 (2021/2022) - The job holder was seconded to the Secretariat of the Presidential Climate Commission (PCC): The secondee faciliated peer-to-peer exchange with the UK’s Climate Change Committee and supported the the convening of stakeholder meetings in the lead up to the development of the Commission's Just Transition Framework."/>
    <d v="2021-11-01T00:00:00"/>
    <x v="19"/>
  </r>
  <r>
    <x v="32"/>
    <x v="3"/>
    <s v="Energy Secretariat -  UK PACT Skill-share"/>
    <n v="48981.25"/>
    <n v="862559.8125"/>
    <x v="1"/>
    <x v="27"/>
    <s v="Department of Science and Innovation (DSI),_x000a_South African National Energy Development Institute (SANEDI)_x000a_"/>
    <m/>
    <x v="0"/>
    <s v="Energy Secretariat Skill-share (UK PACT):The skill-share provided Monitoring, Evaluation and Learning (MEL) support to DSI and SANEDI to develop a Theory of Change and a MEL framework for the Energy Secretariat at an organisation-level and for the draft Energy, Science, Technology and Innovation Plan (ESTIP)."/>
    <d v="2021-11-01T00:00:00"/>
    <x v="20"/>
  </r>
  <r>
    <x v="33"/>
    <x v="3"/>
    <s v="Operationalising Energy Performance Certificates"/>
    <n v="230622.5"/>
    <n v="4061262.2250000001"/>
    <x v="1"/>
    <x v="28"/>
    <s v="Department of Science and Innovation (DSI),_x000a_South African National Energy Development Institute (SANEDI)_x000a_"/>
    <m/>
    <x v="0"/>
    <s v="Operationalising Energy Performance Certificates (UK PACT): The project supported the South African National Energy and Development Institute (SANEDI) in its role in facilitating the operationalisation of EPC data and the implementation of the Mandatory EPC for Buildings Regulation. "/>
    <d v="2021-11-01T00:00:00"/>
    <x v="21"/>
  </r>
  <r>
    <x v="34"/>
    <x v="3"/>
    <s v="Climate Compatible Growth Facility"/>
    <n v="87500"/>
    <n v="1540875"/>
    <x v="1"/>
    <x v="29"/>
    <m/>
    <m/>
    <x v="0"/>
    <s v="Support to PCC on key projects for JETP including UK-SA institutions (UCT with Imperial, Oxford, Cambridge, Loughborough) "/>
    <d v="2023-01-01T00:00:00"/>
    <x v="2"/>
  </r>
  <r>
    <x v="35"/>
    <x v="3"/>
    <s v="UK-IFC Market Accelerator for Green Construction (MAGC) Programme – Advisory Services (Technical Assistance)"/>
    <n v="1189304.4350000001"/>
    <n v="20943651.10035"/>
    <x v="1"/>
    <x v="30"/>
    <m/>
    <m/>
    <x v="1"/>
    <s v="UK-IFC Market Accelerator for Green Construction (MAGC) Programme – Advisory Services: 1. providing technical assistance including building the knowledge and skills base of the industries and governments in the supported countries, 2. improvement and enhancement of IFC’s EDGE building standards, 3. Research,  building evidence by quantifying the financial and emissions case for this demonstration portfolio of buildings to drive wider uptake."/>
    <d v="2021-11-01T00:00:00"/>
    <x v="4"/>
  </r>
  <r>
    <x v="36"/>
    <x v="3"/>
    <s v="Emissions and energy data modelling improvements - support to UCT"/>
    <n v="874731.25"/>
    <n v="15404017.3125"/>
    <x v="1"/>
    <x v="31"/>
    <s v="UCT"/>
    <m/>
    <x v="1"/>
    <s v="Support to UCT: Improving the quality and usability modelling data for energy planning and emissions, including staff to answer queries and potential training of relevant public bodies on emissions modelling"/>
    <d v="2023-08-01T00:00:00"/>
    <x v="22"/>
  </r>
  <r>
    <x v="37"/>
    <x v="1"/>
    <s v="Diversifying local economies"/>
    <n v="123494.375"/>
    <n v="2174735.9437500001"/>
    <x v="1"/>
    <x v="32"/>
    <m/>
    <m/>
    <x v="1"/>
    <s v="Project pipeline development: Identification, verification and vetting of municipal projects to enable development partners to deploy JETP funding"/>
    <d v="2023-09-01T00:00:00"/>
    <x v="23"/>
  </r>
  <r>
    <x v="38"/>
    <x v="2"/>
    <s v="Independent power producer procurement "/>
    <n v="564541.25"/>
    <n v="9941571.4124999996"/>
    <x v="1"/>
    <x v="33"/>
    <s v="South African Local Government Association (SALGA)"/>
    <s v="Municipalities "/>
    <x v="1"/>
    <s v="Enabling municipal energy generation and procurement (UK PACT): The project aims to equip municipalities with reference guides, procurement materials and a comprehensive training programme to enable them to implement  their own independent power producer procurement programme."/>
    <d v="2024-03-01T00:00:00"/>
    <x v="24"/>
  </r>
  <r>
    <x v="39"/>
    <x v="2"/>
    <s v="Municipal revenue modelling"/>
    <n v="579407.5"/>
    <n v="10203366.074999999"/>
    <x v="1"/>
    <x v="18"/>
    <s v="Presidential Climate Commission (PCC); South African Local Government Association (SALGA)"/>
    <m/>
    <x v="1"/>
    <s v="Policy research and support for energy pricing reform and municipal energy procurement (UK PACT):  Support the Presidential Climate Commission (PCC) with policy research and support for energy pricing reform and municipal energy procurement; support SALGA with a study of and legal support regarding alternative ownership models"/>
    <d v="2024-02-01T00:00:00"/>
    <x v="25"/>
  </r>
  <r>
    <x v="40"/>
    <x v="5"/>
    <s v="Infrastructure "/>
    <n v="1245680"/>
    <n v="21936424.800000001"/>
    <x v="1"/>
    <x v="34"/>
    <s v="Industrial Development Corporation (IDC)"/>
    <s v=" Department of Mineral Resources and Energy (DMRE),National Treasury, Department of Transport (National and Provincial Government), Department of Trade Industry and Competition "/>
    <x v="1"/>
    <s v="Eastern Cape Green Hydrogen Production and Export Infrastructure Feasibility Study (UK PACT): This feasibility study centres on the creation of infrastructure for the production and export of green hydrogen from South Africa's Eastern Cape region to the United Kingdom and other markets. "/>
    <d v="2024-02-01T00:00:00"/>
    <x v="26"/>
  </r>
  <r>
    <x v="41"/>
    <x v="5"/>
    <s v="Energy Secretariat -  UK PACT Skill-share Part 2"/>
    <n v="68837.5625"/>
    <n v="1212229.475625"/>
    <x v="1"/>
    <x v="35"/>
    <s v="Department of Science and Innovation (DSI),_x000a_South African National Energy Development Institute (SANEDI)_x000a_"/>
    <m/>
    <x v="0"/>
    <s v="Energy Secretariat Part 2 (UK PACT): Supporting the set up and design of the Energy Secretariat (embedded in SANEDI). This skill-share will provide organisational design and MEL support to the counterpart organisations in relation to the roles and responsibilities of the Secretariat. It should be noted that the Secretariat, as an institution, has not yet been established and resourced, hence a significant portion of this skills share support will focus on providing organisational design support."/>
    <d v="2023-09-01T00:00:00"/>
    <x v="6"/>
  </r>
  <r>
    <x v="42"/>
    <x v="1"/>
    <s v="Estimating the health impacts from coal-fired power stations in South Africa"/>
    <n v="36801.25"/>
    <n v="648070.01249999995"/>
    <x v="1"/>
    <x v="36"/>
    <m/>
    <s v="South African Medical Research Council "/>
    <x v="1"/>
    <s v="To document the literature on the health impacts of coal-fired power stations globally and specifically for South Africa, and to estimate mortality (and possibly morbidity) risks in the districts where the coal-fired power stations are located compared to districts where no coal-fired power stations are located."/>
    <d v="2023-09-01T00:00:00"/>
    <x v="27"/>
  </r>
  <r>
    <x v="43"/>
    <x v="1"/>
    <s v="Early-stage pipeline scoping in Mpumalanga for JETP SME investment"/>
    <n v="1625000"/>
    <n v="28616250"/>
    <x v="1"/>
    <x v="37"/>
    <m/>
    <s v="SME's in Mpumalanga "/>
    <x v="1"/>
    <s v="Mobilise and stimulate private investment for SMEs in Mpumalanga to support economic diversification priorities in the Just Energy Transition Partnership (JETP). Intervention via early-stage pipeline development support to SME investors and pre-/post-investment technical assistance to investees. "/>
    <d v="2023-07-01T00:00:00"/>
    <x v="8"/>
  </r>
  <r>
    <x v="44"/>
    <x v="1"/>
    <s v="Agribusiness investment support for JETP in Mpumalanga"/>
    <n v="1173720"/>
    <n v="20669209.199999999"/>
    <x v="1"/>
    <x v="38"/>
    <m/>
    <s v="Agribusiness in Mpumalanga"/>
    <x v="1"/>
    <s v="Agribusiness investment falls under the UK commitment to JETP (economic diversification/’just’ agenda): Agribusiness investors require pipeline sourcing/generation support to go beyond the large-scale investments currently visible to them, to find new climate-friendly agriculture opportunities, AND/OR to work with their existing investees to drive greater inclusion in their supply chains. To further ‘just’ agribusiness investment, this project will (a) identify which among its existing investment partners, or new ones within the JETP network, have either existing agri investments in SA or plans to expand investment and (b) provide technical assistance either to potential investee companies (to get them closer to bankability) or existing investee companies (to better drive job creation and small farmer inclusion).  Providing Pre-investment technical assistance (TA) to 8 high potential farms,connecting them to agri-lenders and impact investors. Programme will also provide TA to 2 specialist agri-lenders to high margin fruit and nuts sector "/>
    <d v="2023-08-01T00:00:00"/>
    <x v="28"/>
  </r>
  <r>
    <x v="45"/>
    <x v="1"/>
    <s v="Responsible land use"/>
    <n v="375000"/>
    <n v="6603750"/>
    <x v="1"/>
    <x v="39"/>
    <m/>
    <m/>
    <x v="1"/>
    <s v="Developing guidelines for responsible land-based investment governance using municipal prototypes: Cities in SA are critical to economic development and just transition through effective land-use planning, increased investment, and urban governance. Most SA cities, especially secondary cities, have jurisdiction over private, public and traditional land with potential for investment in energy, transport, agriculture, bulk infrastructure, manufacturing, and tourism. However, cities lack capacity to apply land rights related principles and land-use planning methodologies, are unfamiliar with land-use financing options and tools, and require assistance identifying viable opportunities for benefit-sharing with local communities. To promote more effective land-use investment, this project will include TA to local governments on (a) land-based financing – opportunities for land revenues to be reinvested in local economic development, (b) identification and preparation of strategic projects for green economy – including energy, tourism, and green SMEs, and (c) community engagement for benefit-sharing."/>
    <d v="2023-08-01T00:00:00"/>
    <x v="29"/>
  </r>
  <r>
    <x v="46"/>
    <x v="2"/>
    <s v="Infrastructure project preparation and local economic development capacity building "/>
    <n v="1250000"/>
    <n v="22012500"/>
    <x v="1"/>
    <x v="40"/>
    <s v="PWC; Adam Smith International;  Pegasys Consortium"/>
    <m/>
    <x v="1"/>
    <s v="Implementation of local economic development strategies and plans including support for JET through economic diversification  - in MP - Mbombela and Steve Tshwete"/>
    <d v="2023-06-01T00:00:00"/>
    <x v="30"/>
  </r>
  <r>
    <x v="47"/>
    <x v="3"/>
    <s v="UK PACT Secondment"/>
    <n v="87500"/>
    <n v="1540875"/>
    <x v="1"/>
    <x v="41"/>
    <m/>
    <m/>
    <x v="1"/>
    <s v="UK PACT Secondment- Year 2 (2023/2024): The job holder was seconded to the Secretariat of the Presidential Climate Commission (PCC). The secondee facilitated peer-to-peer exchange with the UK’s Climate Change Committee and supported the the convening of stakeholder meetings in the lead up to the development of the Commission's Just Transition Framework."/>
    <d v="2023-05-01T00:00:00"/>
    <x v="14"/>
  </r>
  <r>
    <x v="48"/>
    <x v="0"/>
    <s v="UK-IFC Market Accelerator for Green Construction (MAGC) Programme - – Capital Investment"/>
    <n v="2923387.1"/>
    <n v="51480846.831"/>
    <x v="1"/>
    <x v="42"/>
    <s v="Financial Intermediaries, Green building developers, policy-makers."/>
    <s v="Commercial and industrial developers, for the benefit of Small and medium enterprises (SMEs)"/>
    <x v="1"/>
    <s v="MAGC will provide a Performance Based Incentive (PBI), for pre-agreed eligibility criteria, that will partly offset greening and EDGE certification costs for developers: The proceeds from IFC’s loan are fully earmarked for EDGE-certified residential housing developments, including in the affordable housing segment.This first MAGC investment will support Business Partners Limited, a South African non-banking financing entity specialised in loans and mentorship for SMEs to advance energy efficiency initiatives in South Africa. The deal provides financing for a 5-year loan aiming to build 90 Excellence in Design for Greater Efficiencies, (EDGE) certified buildings and will also provide a customised advisory service programme to support the green building capacity for staff and external construction stakeholders."/>
    <d v="2021-11-01T00:00:00"/>
    <x v="4"/>
  </r>
  <r>
    <x v="49"/>
    <x v="0"/>
    <s v="UK-IFC Market Accelerator for Green Construction (MAGC) Programme - – Capital Investment"/>
    <n v="2923387.1"/>
    <n v="51480846.831"/>
    <x v="1"/>
    <x v="43"/>
    <s v="Financial Intermediaries, Green building developers, policy-makers."/>
    <s v="Commercial and industrial developers, for the benefit of Small and medium enterprises (SMEs)"/>
    <x v="1"/>
    <s v="IFC will provide advisory services in South Africa in line with the aims of the MAGC program: This second MAGC investment in South Africa provides Nedbank with a US$31.1m IFC investment for financing EDGE-certified residential housing developments. The bond will enable a significant increase in EDGE-certified green residential developments in South Africa, 75% of which is targeted to be affordable housing on a best efforts basis. Scaling up green building financing, particularly in the residential sector, is critical to support the decarbonisation of South Africa’s energy sector while contributing to economic recovery and addressing the large housing deficit in the country. An advisory Services project will run alongside the investment, providing the bank EDGE-tool training and green building certification support, and support the bank in integrating EDGE processes."/>
    <d v="2021-11-01T00:00:00"/>
    <x v="4"/>
  </r>
  <r>
    <x v="50"/>
    <x v="0"/>
    <s v="Energy Transition Roadmap "/>
    <n v="360356.25"/>
    <n v="6345873.5625"/>
    <x v="1"/>
    <x v="37"/>
    <s v="Energy Council "/>
    <m/>
    <x v="0"/>
    <s v="Strategy report and and an initiative and market structure detailing for an Energy Transition Roadmap (ETR): The Energy Council will produce an Energy Transition Roadmap. The ETR will focus on defining potential delivery pathways for an integrated energy system and identifying and detailing out critical initiatives needed through to 2034 to drive implementation of an energy transition plan, in support of South Africa's energy transition and NDCs. This fund will be for the continuation of an inception report of the ETR"/>
    <d v="2024-01-17T00:00:00"/>
    <x v="18"/>
  </r>
  <r>
    <x v="51"/>
    <x v="1"/>
    <s v="Investment Project Preparation "/>
    <n v="4873495"/>
    <n v="85822246.950000003"/>
    <x v="1"/>
    <x v="44"/>
    <m/>
    <s v="South African Municipalities with a focus on municipalities in Mpumalanga _x000a_"/>
    <x v="1"/>
    <s v="Creating infrastructure pipeline and implementing projects in JETP sectors- particularly water and energy: 80% Creating infrastructure pipeline and implementing projects in JETP sectors- with an initial focus on AfDB projects in Mpumalanga, focused on water and energy distribution. 20% ad hoc technical assistance "/>
    <d v="2023-09-01T00:00:00"/>
    <x v="31"/>
  </r>
  <r>
    <x v="52"/>
    <x v="0"/>
    <s v="Infrastructure "/>
    <n v="1249200"/>
    <n v="21998412"/>
    <x v="1"/>
    <x v="45"/>
    <s v="DHET"/>
    <s v="6 South African Public Universities- University of Mpumalanga, Mangosuthu University of Technology, Sefako Makgatho Health Sciences University, Tshwane University of Technology, University of Fort Hare, University of Venda "/>
    <x v="1"/>
    <s v="This project seeks to develop investable, implementable climate action plans, bolstered by business cases and the identification of appropriate funding mechanisms (including existing funding sources and new funding models), in collaboration with 6 of the 26 public universities. The project relies on the use of industry-proven modelling and simulation tools (tailored for the South African context), allowing data from energy audits to inform a strategic energy transition and decarbonisation roadmap._x000a__x000a_The project will be executed using a unique “smart campus scoping” process, which has been used for universities around the world. The project seeks to replicate this process in a manner that is tailored to the South African environment and circumstances. The “smart campus scoping” approach has enabled universities to establish a clear roadmap towards achieving their climate change objectives, including tangible outputs such as onsite renewable energy generation projects."/>
    <d v="2023-08-01T00:00:00"/>
    <x v="32"/>
  </r>
  <r>
    <x v="53"/>
    <x v="0"/>
    <s v="Coal plant decommissioning "/>
    <n v="7560000.0000000009"/>
    <n v="133131600.00000001"/>
    <x v="2"/>
    <x v="46"/>
    <s v="ESKOM"/>
    <m/>
    <x v="2"/>
    <s v="Investments in the Power Sector Reform Programme: Promotion of a sustainable energy transition, e.g. by expanding renewable energy capacities"/>
    <d v="2025-06-30T00:00:00"/>
    <x v="14"/>
  </r>
  <r>
    <x v="54"/>
    <x v="0"/>
    <s v="Enabling Environment"/>
    <n v="10260000"/>
    <n v="180678600"/>
    <x v="2"/>
    <x v="47"/>
    <s v="DMRE, Eskom, NT, SALGA, NERSA, Universities, NTCSA, SACN and the private sector"/>
    <m/>
    <x v="1"/>
    <s v="SAGEN-CET (Capacities for the Energy Transition): TA, specifically capacity building on power sector reform topics, organizational development and gender mainstreaming"/>
    <d v="2021-11-01T00:00:00"/>
    <x v="4"/>
  </r>
  <r>
    <x v="55"/>
    <x v="0"/>
    <s v="Enabling Environment"/>
    <n v="16740000.000000002"/>
    <n v="294791400"/>
    <x v="2"/>
    <x v="48"/>
    <s v="DMRE, Presidency, MoE, OV, NERSA, Eskom, NTCSA, SALGA, Municipalities"/>
    <m/>
    <x v="1"/>
    <s v="South African-German Energy Programme 4 (SAGEN 4): South African-German Energy Programme 4 (SAGEN 4): Supports institutions in the South African Energy landscape in implementing the processes and reforms in the fields of power sector reform, energy policy and regulation, power systems planning and operation, embedded generation in distribution networks and municipal energy management systems "/>
    <d v="2022-01-01T00:00:00"/>
    <x v="14"/>
  </r>
  <r>
    <x v="56"/>
    <x v="5"/>
    <s v="Enabling Environment"/>
    <n v="3240000"/>
    <n v="57056400"/>
    <x v="2"/>
    <x v="49"/>
    <s v="dtic, CSIR"/>
    <m/>
    <x v="1"/>
    <s v="Enabling Long-Term de-fossilisation Pathways through Power-to-X (PtX Pathways) South African Component: TA on supporting the build up of a sustainable PtX economy"/>
    <d v="2021-11-01T00:00:00"/>
    <x v="24"/>
  </r>
  <r>
    <x v="57"/>
    <x v="0"/>
    <s v="Enabling Environment"/>
    <n v="3240000"/>
    <n v="57056400"/>
    <x v="2"/>
    <x v="50"/>
    <s v="DMRE"/>
    <m/>
    <x v="1"/>
    <s v="South African – German Energy Partnership: All funds already committed."/>
    <d v="2021-11-01T00:00:00"/>
    <x v="1"/>
  </r>
  <r>
    <x v="58"/>
    <x v="0"/>
    <s v="Enabling Environment"/>
    <n v="4860000"/>
    <n v="85584600"/>
    <x v="2"/>
    <x v="51"/>
    <s v="DMRE, Munics, NTCSA, NERSA"/>
    <m/>
    <x v="1"/>
    <s v="SAGEN-CET2 (Capacities for the Energy Transition2): Funds only available once project is commissioned "/>
    <d v="2024-01-01T00:00:00"/>
    <x v="4"/>
  </r>
  <r>
    <x v="59"/>
    <x v="1"/>
    <s v="Diversifying local economies"/>
    <n v="16200000.000000002"/>
    <n v="285282000"/>
    <x v="2"/>
    <x v="52"/>
    <s v="JUST SA Consortium (including Green Cape, NBI, TIPS, Yes4Youth)"/>
    <m/>
    <x v="1"/>
    <s v="Just Transition to a Decarbonised Economy (JUST SA): The JUST SA project, implemented by GIZ, Green Cape, NBI, TIPS, and WWF SA, aims to support South Africa's transition to a low-carbon, climate-resilient economy. GIZ coordinates the program, providing grants and overseeing financial management, while working closely with partners such as the Department of Forestry, Fisheries and the Environment (DFFE), Presidential Climate Commission Secretariat (PCC), and other stakeholders. The project focuses on stakeholder participation in policy development, provincial green economic development, skills development, model projects on municipal level, and mine rehabilitation. JUST SA is leading the process to establish a multi-level stakeholder dialogue on Just Transition and supporting financial instrument development. JUST SA is developing a green economy transition strategy in the Mpumalanga region, supporting municipalities with Just Transition concepts and improving capacity development and financial access for SMMEs. Activities range from development of working papers on Just Transition, representation of marginalized communities in national dialogues, technical support for Just Transition project developers, organisational and strategical support for the MGCA, development of a strategy for green industry development in Mpumalanga, scaling of innovative funding instruments for SMMEs, local skills development in municipalities, to feasibility studies for water treatment approaches of mine water."/>
    <d v="2022-06-01T00:00:00"/>
    <x v="33"/>
  </r>
  <r>
    <x v="60"/>
    <x v="0"/>
    <s v="Piloting social ownership models"/>
    <n v="21600000"/>
    <n v="380376000"/>
    <x v="2"/>
    <x v="53"/>
    <s v="Infra Impact"/>
    <m/>
    <x v="1"/>
    <s v="Innovative Financing of Green Infrastructure: The project will refinance the equity shares of South African Community Trusts in projects under the national REI4P. "/>
    <d v="2022-01-01T00:00:00"/>
    <x v="34"/>
  </r>
  <r>
    <x v="61"/>
    <x v="0"/>
    <s v="Piloting social ownership models"/>
    <n v="21600000"/>
    <n v="380376000"/>
    <x v="2"/>
    <x v="54"/>
    <s v="Infra Impact"/>
    <m/>
    <x v="2"/>
    <s v="Innovative Financing of Green Infrastructure II: Expansion of the refinancing facility under phase I."/>
    <d v="2024-01-01T00:00:00"/>
    <x v="35"/>
  </r>
  <r>
    <x v="62"/>
    <x v="2"/>
    <s v="Collective planning"/>
    <n v="20520000"/>
    <n v="361357200"/>
    <x v="2"/>
    <x v="55"/>
    <s v="DMRE; NBI; Presidency; IDC"/>
    <m/>
    <x v="1"/>
    <s v="Energy Efficiency in Public Buildings and Infrastructure Programme (EEPBIP): EUR 8.7m TA, EUR12.3m Partial Credit Guarantee (IDC). Budget pro rata-ed for Nov 2021 start date with agreement of JETP"/>
    <d v="2021-11-01T00:00:00"/>
    <x v="4"/>
  </r>
  <r>
    <x v="63"/>
    <x v="5"/>
    <s v="Infrastructure "/>
    <n v="24840000"/>
    <n v="437432400"/>
    <x v="2"/>
    <x v="56"/>
    <s v="IDC"/>
    <m/>
    <x v="2"/>
    <s v="Promotion of Green Hydrogen"/>
    <d v="2022-01-01T00:00:00"/>
    <x v="36"/>
  </r>
  <r>
    <x v="64"/>
    <x v="5"/>
    <s v="Infrastructure "/>
    <n v="16740000.000000002"/>
    <n v="294791400"/>
    <x v="2"/>
    <x v="57"/>
    <s v="The Presidency, HySA Network, Infrastructure SA, SANEDI, HSRC"/>
    <m/>
    <x v="1"/>
    <s v="Promoting a Green Hydrogen Economy in South Africa (H2.SA): All funds already committed."/>
    <d v="2021-11-01T00:00:00"/>
    <x v="14"/>
  </r>
  <r>
    <x v="65"/>
    <x v="3"/>
    <s v="Mobilise PSET funding for JET"/>
    <n v="11880000"/>
    <n v="209206800"/>
    <x v="2"/>
    <x v="58"/>
    <s v="National Business Initiative (NBI)"/>
    <m/>
    <x v="2"/>
    <s v="Skills &amp; Employment Program (IRM): This project promotes skills development and youth employment in the field of IRM (installation, repair and maintenance). With its special focus on township economies, the programme will support the establishment of IRM hubs in selected TVET colleges. The hubs will provide business acceleration support, enabling access to markets and new supply chains as well as training services for targeted local SMEs, thus unlocking the potential for business growth and employment generation. With emphasis on green economy, technical training on renewable energies and the partneship with key industrial centers (like the SEZs in Atlantis, Tshwane North, the Isithebe Eco-Industrial park and Mpumananga based industries) to program diectly aligns with JET."/>
    <d v="2023-01-01T00:00:00"/>
    <x v="37"/>
  </r>
  <r>
    <x v="66"/>
    <x v="3"/>
    <s v="Mobilise PSET funding for JET"/>
    <n v="10800000"/>
    <n v="190188000"/>
    <x v="2"/>
    <x v="59"/>
    <s v="South African Renewable Energy Technology Centre (SARETEC)"/>
    <m/>
    <x v="2"/>
    <s v="Skills4JET: The project promotes technical skills in renewable energy technologies. The project supports a) expansion of SARETEC's training infrastructure, human resources and training offerings (wind, PV &amp; battery storage, possibly H2), b) roll-out of technical training progams to selected TVET colleges (such as PV &amp; battery storage, energy efficiency, solar water heating, CSP) and c) establishing training facilities for renewable engergies supporting ESKOM's JET plans (possibly at the Grootvlei Power Station or at the ESKOM's Academy of Learning - EAL). The project intends to provided training institutions who offer training programms in renewable energies with related infrastructure for own practise and operations, such as PV and battery storage (&quot;Greening TVET&quot;). "/>
    <d v="2024-01-01T00:00:00"/>
    <x v="36"/>
  </r>
  <r>
    <x v="67"/>
    <x v="3"/>
    <s v="Mobilise PSET funding for JET"/>
    <n v="13500000"/>
    <n v="237735000"/>
    <x v="2"/>
    <x v="60"/>
    <s v="NBI, Lulalab, Yes4Youth, IEPA, Resolution Circle, Wits Real, Techniserve, ILO"/>
    <m/>
    <x v="1"/>
    <s v="Career Path Development for Employment (CPD4E) - BMZ: All funds already committed."/>
    <d v="2022-06-01T00:00:00"/>
    <x v="38"/>
  </r>
  <r>
    <x v="68"/>
    <x v="3"/>
    <s v="Mobilise PSET funding for JET"/>
    <n v="6480000"/>
    <n v="114112800"/>
    <x v="2"/>
    <x v="61"/>
    <s v="The Presidency"/>
    <m/>
    <x v="0"/>
    <s v="Support to the Presidential Youth Employment Intervention - S2PYEI"/>
    <d v="2021-11-01T00:00:00"/>
    <x v="18"/>
  </r>
  <r>
    <x v="69"/>
    <x v="2"/>
    <s v="Climate Support Programme (CSP4)"/>
    <n v="5400000"/>
    <n v="95094000"/>
    <x v="2"/>
    <x v="62"/>
    <s v="DFFE, municipalities, provinces"/>
    <m/>
    <x v="1"/>
    <s v="Policy advisory and other support to DFFE and other institutions on climate mitigation and adaptation issues -  biodiversity: All funds already committed."/>
    <d v="2022-01-01T00:00:00"/>
    <x v="4"/>
  </r>
  <r>
    <x v="70"/>
    <x v="1"/>
    <s v="Green Economy Transformation (GET)"/>
    <n v="378000"/>
    <n v="6656580"/>
    <x v="2"/>
    <x v="63"/>
    <s v="DFFE"/>
    <m/>
    <x v="1"/>
    <s v=" "/>
    <d v="2022-06-01T00:00:00"/>
    <x v="1"/>
  </r>
  <r>
    <x v="71"/>
    <x v="1"/>
    <s v="JET Innovation Regions "/>
    <n v="280800"/>
    <n v="4944888"/>
    <x v="2"/>
    <x v="64"/>
    <s v="TBD"/>
    <m/>
    <x v="1"/>
    <m/>
    <d v="2022-12-01T00:00:00"/>
    <x v="22"/>
  </r>
  <r>
    <x v="72"/>
    <x v="1"/>
    <s v="The funding specifically targets JET implementation, with a focus on Just and systemic process support for the transition / capacity building and the subnational level."/>
    <n v="32400000.000000004"/>
    <n v="570564000"/>
    <x v="2"/>
    <x v="64"/>
    <m/>
    <m/>
    <x v="2"/>
    <m/>
    <d v="2024-08-01T00:00:00"/>
    <x v="30"/>
  </r>
  <r>
    <x v="73"/>
    <x v="5"/>
    <s v="Catalyst Research for Sustainable Kerosene, CARE-o-SENE"/>
    <n v="32400000.000000004"/>
    <n v="570564000"/>
    <x v="2"/>
    <x v="64"/>
    <m/>
    <m/>
    <x v="1"/>
    <s v="Development of catalysts in the Fischer-Tropsch process (FT). These FT catalysts play a key role in the large-scale production of green kerosene. With the help of optimized catalysts, sustainable aircraft fuels, so-called Sustainable Aviation Fuels (SAF), can be produced more efficiently."/>
    <d v="2022-01-03T00:00:00"/>
    <x v="1"/>
  </r>
  <r>
    <x v="74"/>
    <x v="5"/>
    <s v="Greening the production and use of liquefied fuel gas in Southern Africa, Green‐QUEST"/>
    <n v="4320000"/>
    <n v="76075200"/>
    <x v="2"/>
    <x v="64"/>
    <s v="University of Cape Town; Nelson Mandela University; Council for Scientific &amp; Industrial Research (CSIR); Hydrogen Energy Applications (Pty) Ltd (HYENA)_x000a__x000a_Associated partners: _x000a_Sasol Ltd; SHV Energy N.V."/>
    <m/>
    <x v="1"/>
    <s v="Developing Green-LFG value chain.  Converting captured CO2, water and renewable energy into synthesis gas and green liquid gas is improved."/>
    <d v="2022-10-03T00:00:00"/>
    <x v="25"/>
  </r>
  <r>
    <x v="75"/>
    <x v="0"/>
    <s v="Coal plant decommissioning "/>
    <n v="680400"/>
    <n v="11981844"/>
    <x v="3"/>
    <x v="65"/>
    <m/>
    <m/>
    <x v="2"/>
    <s v="Refinement of Eskom JET Office Strategy: Consulting services to the Eskom JET Office for the update, refinement, and initial implementation of the JET strategy.  Co-funded with GEAPP.  Executed by BCG."/>
    <d v="2022-01-01T00:00:00"/>
    <x v="1"/>
  </r>
  <r>
    <x v="76"/>
    <x v="0"/>
    <s v="Coal plant decommissioning "/>
    <n v="297000"/>
    <n v="5230170"/>
    <x v="3"/>
    <x v="66"/>
    <m/>
    <m/>
    <x v="2"/>
    <s v="Support to CSIR: Support the development of a holistic cost-benefit analysis study on the repurposing of two coal power plants; as well as the examination of the localization potential and enterprise development opportunities of both the solar PV and battery storage value chain"/>
    <d v="2022-01-01T00:00:00"/>
    <x v="1"/>
  </r>
  <r>
    <x v="77"/>
    <x v="1"/>
    <s v="Diversifying local economies"/>
    <n v="540000"/>
    <n v="9509400"/>
    <x v="3"/>
    <x v="67"/>
    <m/>
    <m/>
    <x v="1"/>
    <s v="Economic diversification support to Steve Tshwete Municipality for: 1- The development of a just low-carbon transition strategy, in line with previous work undertaken by the German Cooperation (GiZ) and ICLEI. 2- Supporting the diversification of the local economy to make it less dependent on the coal industry. "/>
    <d v="2021-11-01T00:00:00"/>
    <x v="1"/>
  </r>
  <r>
    <x v="78"/>
    <x v="1"/>
    <s v="Diversifying local economies"/>
    <n v="216000"/>
    <n v="3803760"/>
    <x v="3"/>
    <x v="68"/>
    <m/>
    <m/>
    <x v="0"/>
    <s v="Community Explorer: Steve Tshwete Local Municipality"/>
    <d v="2022-01-01T00:00:00"/>
    <x v="2"/>
  </r>
  <r>
    <x v="79"/>
    <x v="1"/>
    <s v="Participatory identification and implementation of just energy transition interventions"/>
    <n v="385560"/>
    <n v="6789711.5999999996"/>
    <x v="3"/>
    <x v="69"/>
    <m/>
    <m/>
    <x v="1"/>
    <s v="Participatory co-design of equitable energy transition interventions: Supporting an inclusive, participatory co-construction process in a community / municipality impacted by the energy transition, to  identify interventions that contribute to a just transition. This process will include local role players (local gov, civil society, unions, private sector) (First Phase)_x000a_Establishing an Alternative Service Delivery Unit to Address Energy Injustice and Informal Settlements To boost employment and economic activity by offering alternative energy services in the agricultural village of Nomzamo, within the framework of the just transition in Ermelo, Mpumalanga and to create an inclusive mechanism for alternative sanitation services, ensuring the full realization of basic human rights for communities disadvantaged by the energy transition. (second phase)"/>
    <d v="2023-06-01T00:00:00"/>
    <x v="8"/>
  </r>
  <r>
    <x v="80"/>
    <x v="1"/>
    <s v="Piloting social ownership models"/>
    <n v="32400.000000000004"/>
    <n v="570564"/>
    <x v="3"/>
    <x v="70"/>
    <m/>
    <m/>
    <x v="1"/>
    <s v="Study on energy poverty: Study on impact of power sector reforms on energy poverty.  With focus on Emalahleni Local Municipality"/>
    <d v="2022-01-01T00:00:00"/>
    <x v="3"/>
  </r>
  <r>
    <x v="81"/>
    <x v="0"/>
    <s v="Green bond"/>
    <n v="162000"/>
    <n v="2852820"/>
    <x v="3"/>
    <x v="71"/>
    <m/>
    <m/>
    <x v="1"/>
    <s v="Cross sectoral: The purpose of the green bond issuance was to support investment in climate change mitigation and adaptation projects in Africa. The project is backed by a portfolio of sub-projects in the renewable energy sector (solar/wind) and/or in the water sector, with climate mitigation or adaptation co-benefits. The total value of the project is EUR 200 million for the subscription to the green bond issued by DBSA with a maturity of 7 years, and EUR 0.15 million in grants to finance technical assistance. "/>
    <d v="2021-11-01T00:00:00"/>
    <x v="39"/>
  </r>
  <r>
    <x v="82"/>
    <x v="1"/>
    <s v="The role of social policies in the framework for the just transition (focusing Steve Tshwete Local Municipality)"/>
    <n v="16200.000000000002"/>
    <n v="285282"/>
    <x v="3"/>
    <x v="72"/>
    <m/>
    <m/>
    <x v="0"/>
    <s v="Contribution on the debate on a just transition in SA by mapping the entrenched historical implications of coal use, overlaying these with a description of some of the policies developed to address energy and climate change: This paper explores the extent to which social policies in South Africa might serve as mechanisms to enhance the transition to a low carbon economy and contribute to mitigating some of the negative impacts towards ensuring a holistic and just transition. It attempts to contribute to the fluid and contested nature of the debate on a just transition in South Africa by mapping the entrenched historical implications of coal use, overlaying these with a description of some of the policies developed to address energy and climate change and analysing the extent to which current social protection policies, designed to facilitate well-being, might be harnessed towards a more equitable society and a just transition"/>
    <d v="2021-11-01T00:00:00"/>
    <x v="16"/>
  </r>
  <r>
    <x v="83"/>
    <x v="1"/>
    <s v="Revitalisation of Mining Ghost Towns "/>
    <n v="129600.00000000001"/>
    <n v="2282256"/>
    <x v="3"/>
    <x v="73"/>
    <m/>
    <m/>
    <x v="0"/>
    <s v="Analysis of the revitalisation of South African Mining Ghost Towns – focus on Phalaborwa and Carolina: The objective of the project was to identify existing and/or potential economic opportunities in the project target areas, BaPhalaborwa and Carolina, that could ensure a Just Transition from strongly mining oriented local economies . The IDC identified that smaller towns in the mining regions of South Africa are facing economic hardship as they transition into a greener based future. This is particularly the case for towns dependent on coal mining but the issues faced involve other mining dependent towns as well, particularly given general declines in mining productivity and life of mining cycles. Based on an IDC study review of such towns, they identified the two towns (Phalaborwa and Carolina) to form the basis of this Ghost Mining Project review"/>
    <d v="2021-11-01T00:00:00"/>
    <x v="16"/>
  </r>
  <r>
    <x v="84"/>
    <x v="1"/>
    <s v="Implementation of the Just Transitions Framework "/>
    <n v="21600"/>
    <n v="380376"/>
    <x v="3"/>
    <x v="74"/>
    <m/>
    <m/>
    <x v="0"/>
    <s v="Develop a just transition partnering implementation model to guide the work of the PCC and its partners, with a focus on Mpumalanga: The purpose of the research is to develop a just transition partnering implementation model to guide the work of the PCC and its partners, with a focus on Mpumalanga.Special attention will be paid to the role of sub-national government, as well as relationships between state and non-state actors at the local level"/>
    <d v="2022-01-01T00:00:00"/>
    <x v="2"/>
  </r>
  <r>
    <x v="85"/>
    <x v="3"/>
    <s v="JET Labour Center"/>
    <n v="378000"/>
    <n v="6656580"/>
    <x v="3"/>
    <x v="75"/>
    <m/>
    <m/>
    <x v="1"/>
    <s v="This project responds to a need for a research centre to assist trade unions with technical expertise: This project responds to a need for a research centre to assist trade unions with technical expertise, including reviewing available research and the implications for workers; identifying and helping to analyse different levels of engagement with other stakeholders; and sharing experiences with similar structural changes in South Africa and internationally. The Labour School resolved to establish a just transition centre for South Africa that will provide the three Federations with technical expertise. The Just transition Centre for South African unions will be responsible for reviewing research into the impacts of the climate change on the economy; providing relevant technical expertise to the labour movement; and running capacity building programmes and workshops for unions across Federations."/>
    <d v="2023-01-01T00:00:00"/>
    <x v="4"/>
  </r>
  <r>
    <x v="86"/>
    <x v="3"/>
    <s v="Public employment programs, just transition and inequality"/>
    <n v="237060.00000000003"/>
    <n v="4174626.6000000006"/>
    <x v="3"/>
    <x v="76"/>
    <m/>
    <m/>
    <x v="1"/>
    <s v="Support the Public employment programs: This proposal requests the AFD to provide support to the ‘innovation sandbox’ role. While the immediacy of the pandemic is over, unemployment remains the single biggest cause of poverty and income inequality in South Africa, now exacerbated by the impact of the energy crisis on the economy – and the employment implications of the energy transition also. This context also requires the Presidential Employment Stimulus to pivot in ways that build on lessons from the Stimulus so far – but that now take those to the next level"/>
    <d v="2023-01-01T00:00:00"/>
    <x v="4"/>
  </r>
  <r>
    <x v="87"/>
    <x v="3"/>
    <s v="Strengthening the environmental justice movement in South Africa"/>
    <n v="226800.00000000003"/>
    <n v="3993948.0000000005"/>
    <x v="3"/>
    <x v="77"/>
    <m/>
    <m/>
    <x v="1"/>
    <s v="Funding to the Environmental Justice Fund (EJF) to provide financial, capacity-building and networking support to community-based organisations (CBOs) and community networks working to advance environmental and climate justice in South Africa:  Supporting affected communities to design and implement responses to climate change and environmental injustice, is integral to driving a just transition."/>
    <d v="2023-01-01T00:00:00"/>
    <x v="1"/>
  </r>
  <r>
    <x v="88"/>
    <x v="1"/>
    <s v="Social protection"/>
    <n v="128520.00000000001"/>
    <n v="2263237.2000000002"/>
    <x v="3"/>
    <x v="78"/>
    <m/>
    <m/>
    <x v="1"/>
    <s v="Social Protection and the Just Transition in South Africa -Examining the Financial Requirements of the Just Transition: This project aims to make two primary high-level contributions:_x000a_i. First, it will count and profile existing workers in coal and related industries using reliable, spatially sensitive microdata. This includes an analysis of employment, wages, and wage inequality;_x000a_ii. Second, it will propose a basket of social protection policies tailored to the identified worker profiles, with attendant modelled cost estimates, and potential financing options. This includes a focus on the wage inequality implications of various policy scenarios that highlight the importance of a just transition in South Africa."/>
    <d v="2023-01-01T00:00:00"/>
    <x v="38"/>
  </r>
  <r>
    <x v="89"/>
    <x v="1"/>
    <s v="Skills and economic diversification"/>
    <n v="34560"/>
    <n v="608601.59999999998"/>
    <x v="3"/>
    <x v="79"/>
    <m/>
    <m/>
    <x v="1"/>
    <s v="Skills ecosystem mapping in the Nkangala district: This project aims to make two primary high-level contributions:_x000a_This research project will conduct a detailed analysis of the skills ecosystem that could feed into the various initiatives to support local authorities and communities in the Nkangala district, which concentrates the coal-fired power plants that will be closed as a result of just transition policies. Phase 1 of the project revealed that an IRM skills ecosystem mapping project is crucial for addressing inequality by thoroughly analysing the socioeconomic and demographic profiles of diverse townships in South Africa. By identifying specific skill gaps and understanding the challenges faced by Small, Medium, and Micro Enterprises (SMMEs) in these areas, the study can inform targeted interventions aimed at reducing inequality in access to employment and economic opportunities. Furthermore, by examining the role of Technical and Vocational Education and Training (TVET) institutions and conducting a comprehensive literature review, the study ensures that proposed interventions are evidence-based and tailored to the needs of the communities studied. "/>
    <d v="2023-01-01T00:00:00"/>
    <x v="38"/>
  </r>
  <r>
    <x v="90"/>
    <x v="3"/>
    <s v="Skills and economic diversification"/>
    <n v="75600"/>
    <n v="1331316"/>
    <x v="3"/>
    <x v="80"/>
    <m/>
    <m/>
    <x v="1"/>
    <s v="The impact of the green transition on jobs in South Africa:The project will provide an in-depth analysis of the impact of the green transition on jobs, using both a bottom-up approach (occupation-based quantification of green jobs) and a top-down approach (jobs’ vulnerability based on sectoral emissions). It will then use the Spatial Tax Panel to map the jobs at the municipal level."/>
    <d v="2023-01-01T00:00:00"/>
    <x v="38"/>
  </r>
  <r>
    <x v="91"/>
    <x v="0"/>
    <s v="Mini-grids"/>
    <n v="216000"/>
    <n v="3803760"/>
    <x v="3"/>
    <x v="71"/>
    <s v="ESKOM"/>
    <m/>
    <x v="1"/>
    <s v="Eskom Mini-grids: Development of feasibility studies and implementation plan of the Eskom Mini-grids Programme"/>
    <m/>
    <x v="40"/>
  </r>
  <r>
    <x v="92"/>
    <x v="3"/>
    <s v="Technical assistance for NT/ALM"/>
    <n v="97200"/>
    <n v="1711692"/>
    <x v="3"/>
    <x v="81"/>
    <s v="National Treasury / Asset and Liabilities Management unit"/>
    <s v="National Treasury"/>
    <x v="1"/>
    <s v="Technical assistant to support the coordination of the public policy dialogue and the following up on the objectives related to the indicators of the Just PBL."/>
    <d v="2024-09-04T00:00:00"/>
    <x v="41"/>
  </r>
  <r>
    <x v="93"/>
    <x v="1"/>
    <s v="JT-Funding Platform"/>
    <n v="216000"/>
    <n v="3803760"/>
    <x v="3"/>
    <x v="82"/>
    <s v="JET-PMU"/>
    <s v="JET-PMU"/>
    <x v="2"/>
    <s v="Analyst to support the operationalization of the JET-FP (coordination, registering grant funders onto the JET-FP, M&amp;E…)"/>
    <d v="2024-11-01T00:00:00"/>
    <x v="42"/>
  </r>
  <r>
    <x v="94"/>
    <x v="1"/>
    <s v="Gender mainstreaming"/>
    <n v="54000"/>
    <n v="950940"/>
    <x v="3"/>
    <x v="83"/>
    <s v="Premier's office of Mpumalanga province"/>
    <s v="Premier's office of Mpumalanga province"/>
    <x v="2"/>
    <s v="JET jobs first project: gender and social inclusion in the Mpumalanga province:supporting mgca (green cluster agency) in mainstreaming gender in the project with afdb "/>
    <d v="2023-01-01T00:00:00"/>
    <x v="14"/>
  </r>
  <r>
    <x v="95"/>
    <x v="1"/>
    <s v="Diversifying local economies"/>
    <n v="4000000"/>
    <n v="70440000"/>
    <x v="4"/>
    <x v="64"/>
    <m/>
    <m/>
    <x v="2"/>
    <s v="SME Support: Catalytic grant funding to be deployed in a blended finance structure using first loss capital and/or investment fund support to leverage private capital and  de-risk investment in SMEs in Mpumalanga."/>
    <d v="2023-09-01T00:00:00"/>
    <x v="3"/>
  </r>
  <r>
    <x v="96"/>
    <x v="1"/>
    <s v="Renewable Energy Skills"/>
    <n v="5000000"/>
    <n v="88050000"/>
    <x v="4"/>
    <x v="64"/>
    <m/>
    <m/>
    <x v="2"/>
    <s v="TVET Support: Technical assistance to provide skills training (reskilling, upskilling and new skills) to impacted workers and communitities in Mpumalanga. "/>
    <d v="2023-09-01T00:00:00"/>
    <x v="36"/>
  </r>
  <r>
    <x v="97"/>
    <x v="1"/>
    <s v="Just Mpumpalanga"/>
    <n v="5000000"/>
    <n v="88050000"/>
    <x v="4"/>
    <x v="64"/>
    <m/>
    <m/>
    <x v="2"/>
    <s v="JETP Civic Engagement in Mpumalanga: Activity focused on informing and engaging communities in Mpumalanga on JETP and preparing communities to actively participate in decision-making around the transition.  "/>
    <d v="2023-09-01T00:00:00"/>
    <x v="43"/>
  </r>
  <r>
    <x v="98"/>
    <x v="1"/>
    <s v="Variety"/>
    <n v="15000000"/>
    <n v="264150000"/>
    <x v="4"/>
    <x v="64"/>
    <m/>
    <m/>
    <x v="1"/>
    <s v="Electricity Sector Strengthening:  Technical Assistance Grant program focused on electricity sector strengthening, including municipal support for energy planning and renewable energy skills training."/>
    <d v="2023-09-01T00:00:00"/>
    <x v="44"/>
  </r>
  <r>
    <x v="99"/>
    <x v="1"/>
    <s v="Repurposing coal plants and coal mining land"/>
    <n v="550000"/>
    <n v="9685500"/>
    <x v="4"/>
    <x v="64"/>
    <m/>
    <m/>
    <x v="0"/>
    <s v="Coal Ash Beneficiation: Support for remediation and repurposing of coal mining land in Mpumalanga by creating a circular economy around coal ash beneficiation that will support repurposing efforts at Eskom’s upcoming coal-fired power plants to be decommissioned (Hendrina, Grootvlei, and Camden).  Specifically, these funds will support: (i) a mine waste in construction pilot project, building off a current Eskom project, using legacy coal fly ash for cement, building material, and mine backfill; (ii) a rare earth elements (REE) feasibility study analyzing the supply chain for critical minerals; and (iii) training and education activities related to worker safety._x000a_"/>
    <d v="2023-09-01T00:00:00"/>
    <x v="18"/>
  </r>
  <r>
    <x v="100"/>
    <x v="0"/>
    <s v="All"/>
    <n v="300000"/>
    <n v="5283000"/>
    <x v="4"/>
    <x v="64"/>
    <m/>
    <m/>
    <x v="0"/>
    <s v="Electricity Decarbonization Investment Assessment: Scenario analysis aimed at determining optimum pathways to deploy clean energy technologies and assess the abatement costs of various strategies in support of JET-IP's investment decisions."/>
    <d v="2023-09-01T00:00:00"/>
    <x v="18"/>
  </r>
  <r>
    <x v="101"/>
    <x v="0"/>
    <s v="Transmission"/>
    <n v="300000"/>
    <n v="5283000"/>
    <x v="4"/>
    <x v="64"/>
    <m/>
    <m/>
    <x v="0"/>
    <s v="Transmission Assessment: Needs Analysis to determine additional contextual barriers and challenges of electrificiation vis a vis Transmission infrastrucutre, and provide the technical support for South Africa to develop a roadmap to adopt electro-technologies and expand utility-scale renewable energy capacity in end-use sectors as enabled by an expanded transmission system."/>
    <d v="2023-09-01T00:00:00"/>
    <x v="18"/>
  </r>
  <r>
    <x v="102"/>
    <x v="0"/>
    <s v="Solar PV, Wind, Batteries"/>
    <n v="300000"/>
    <n v="5283000"/>
    <x v="4"/>
    <x v="64"/>
    <m/>
    <m/>
    <x v="0"/>
    <s v="Renewable Energy Integration: Activites to build on established and substantial co-operation among U.S. and South African partners through the Global Power System Transformation Consortium (G-PST)."/>
    <d v="2023-09-01T00:00:00"/>
    <x v="7"/>
  </r>
  <r>
    <x v="103"/>
    <x v="2"/>
    <s v="Revenue Management"/>
    <n v="300000"/>
    <n v="5283000"/>
    <x v="4"/>
    <x v="64"/>
    <m/>
    <m/>
    <x v="0"/>
    <s v="Municipal Energy Planning: Training to municipalities on topics identified in the JET-IP such as resource planning, modernized distribution grid operation and governance, appropriate ancillary services, publicly owned renewable electricity generation and procurement, appropriate local large and distributed embedded generation, demand-side management (DSM), investment in new energy vehicles (NEV) and strategic off-grid renewable generation."/>
    <d v="2023-09-01T00:00:00"/>
    <x v="15"/>
  </r>
  <r>
    <x v="104"/>
    <x v="2"/>
    <s v="Capability and Capacity"/>
    <n v="300000"/>
    <n v="5283000"/>
    <x v="4"/>
    <x v="64"/>
    <m/>
    <m/>
    <x v="0"/>
    <s v="Municipal Revenue Management Support: Technical assistance to municipalities to revise tariff structures to better align their revenue raising process with the country decarbonization objectives."/>
    <d v="2023-09-01T00:00:00"/>
    <x v="45"/>
  </r>
  <r>
    <x v="105"/>
    <x v="0"/>
    <s v="Transmission"/>
    <n v="250000"/>
    <n v="4402500"/>
    <x v="4"/>
    <x v="84"/>
    <m/>
    <m/>
    <x v="1"/>
    <s v="Transmission PPPs: Support to PMU; scope still being determined but can training &amp; capacity building on private sector transmission options and opportunities, including legal and regulatory mapping and gap analysis, and the development of contracting capacity, leveraging the Understanding Power Transmission Financing handbook."/>
    <d v="2023-09-01T00:00:00"/>
    <x v="44"/>
  </r>
  <r>
    <x v="106"/>
    <x v="0"/>
    <s v="Transmission"/>
    <n v="1364834"/>
    <n v="24034726.739999998"/>
    <x v="4"/>
    <x v="46"/>
    <m/>
    <m/>
    <x v="1"/>
    <s v="Eskom Transmission Grant: In July 2023, USTDA awarded a technical assistance grant to Eskom to explore innovative technologies that can transform power delivery and increase the transmission grid’s capacity to absorb new, renewable sources of energy generation and reduce the frequency of power cuts across the country. Eskom selected Idaho-based POWER Engineers, Inc., to conduct the technical assistance. The technical assistance will explore three distinct areas of technology that are critical near-term priorities for South Africa’s grid: artificial intelligence tools for system stability, energy storage systems and market modeling for cross-border energy trading structures. The technical assistance will assess the applicability and effectiveness of each technology and approach in South Africa. https://www.ustda.gov/ustda-eskom-partner-on-transmission-grid-transformation/"/>
    <d v="2023-07-01T00:00:00"/>
    <x v="46"/>
  </r>
  <r>
    <x v="107"/>
    <x v="0"/>
    <s v="VARIETY"/>
    <n v="8635166"/>
    <n v="152065273.25999999"/>
    <x v="4"/>
    <x v="64"/>
    <m/>
    <m/>
    <x v="2"/>
    <s v="Project Preparation Funding and Technical Assistance Grants: For feasibility studies, technical assistance, and pilot projects in the clean energy and transportation sectors. Can support technologies such as clean and renewable power generation, including green hydrogen; solar minigrids and distributed renewable energy resources; energy storage through hydrogen fuel cells, batteries and other storage strategies; smart grid for electricity transmission and distribution, including dynamic utility infrastructure; energy efficiency and demand-side management; electric vehicle infrastructure; and advanced clean energy technologies that are commercially deployed or have been successfully piloted."/>
    <d v="2021-11-01T00:00:00"/>
    <x v="42"/>
  </r>
  <r>
    <x v="108"/>
    <x v="0"/>
    <m/>
    <n v="974746"/>
    <n v="17165277.059999999"/>
    <x v="4"/>
    <x v="64"/>
    <m/>
    <m/>
    <x v="1"/>
    <s v="USTDA Green Hydrogen Industry Workshop: As part of the USTDA Clean Energy and Climate Infrastructure Event Series that promote cooperation between the U.S. and South African public and private sectors on topics such as transmission and distribution, green hydrogen, and municipal energy, the first event in the series took place on October 31 and November 1, 2022. USTDA hosted a South Africa Green Hydrogen Workshop in Cape Town to convene South African public and private sector stakeholders with U.S. industry to discuss various technical, regulatory, and enabling environment topics related to green hydrogen that can help catalyze the sector in South Africa and open market opportunities."/>
    <d v="2022-07-01T00:00:00"/>
    <x v="47"/>
  </r>
  <r>
    <x v="109"/>
    <x v="1"/>
    <s v="Piloting social ownership models"/>
    <n v="4000000"/>
    <n v="70440000"/>
    <x v="4"/>
    <x v="85"/>
    <m/>
    <m/>
    <x v="1"/>
    <s v="USAID Power to the People"/>
    <d v="2023-01-02T00:00:00"/>
    <x v="3"/>
  </r>
  <r>
    <x v="110"/>
    <x v="2"/>
    <s v="Operational: Demand-side management"/>
    <n v="100000"/>
    <n v="1761000"/>
    <x v="4"/>
    <x v="86"/>
    <m/>
    <m/>
    <x v="0"/>
    <s v="Energy Efficiency &amp; Demand Side Management Programming"/>
    <d v="2022-01-01T00:00:00"/>
    <x v="16"/>
  </r>
  <r>
    <x v="111"/>
    <x v="5"/>
    <s v="Infrastructure"/>
    <n v="51420"/>
    <n v="905506.2"/>
    <x v="4"/>
    <x v="87"/>
    <m/>
    <m/>
    <x v="0"/>
    <s v="DMRE Support on Development of a Framework for a Just Transition to a Green Hydrogen Economy"/>
    <d v="2023-04-03T00:00:00"/>
    <x v="48"/>
  </r>
  <r>
    <x v="112"/>
    <x v="3"/>
    <s v="Mobilise PSET funding for JET"/>
    <n v="500000"/>
    <n v="8805000"/>
    <x v="4"/>
    <x v="88"/>
    <m/>
    <m/>
    <x v="1"/>
    <s v="Accelerating Women’s Empowerment in Energy (AWEE) project"/>
    <d v="2022-01-01T00:00:00"/>
    <x v="14"/>
  </r>
  <r>
    <x v="113"/>
    <x v="0"/>
    <s v="Electricity Sector"/>
    <n v="580000"/>
    <n v="10213800"/>
    <x v="4"/>
    <x v="64"/>
    <m/>
    <m/>
    <x v="0"/>
    <s v="USAID &quot;Invest&quot;: Mobilization of $33.5 million in private sector investment for clean energy in South Africa"/>
    <d v="2023-02-01T00:00:00"/>
    <x v="49"/>
  </r>
  <r>
    <x v="114"/>
    <x v="0"/>
    <s v="Transmission"/>
    <n v="117637"/>
    <n v="2071587.5699999998"/>
    <x v="4"/>
    <x v="89"/>
    <m/>
    <m/>
    <x v="1"/>
    <s v="1. Eskom Transmission Infrastructure Funding Options Report 2. Support to SANEDI or Eskom with the development of a roadmap for establishing an ISMO or DSMO 3. Industry knowledge building: private sector financing of transmission grids"/>
    <d v="2023-04-03T00:00:00"/>
    <x v="25"/>
  </r>
  <r>
    <x v="115"/>
    <x v="0"/>
    <s v="Distribution"/>
    <n v="544291"/>
    <n v="9584964.5099999998"/>
    <x v="4"/>
    <x v="64"/>
    <m/>
    <m/>
    <x v="0"/>
    <s v="1. ESKOM - Mini-grid Development Support via CSIR Microgrid Centre of Excellence 2. Assistance to South African Municipalities with Distribution Concessions 3. Assessment of the viability of a distribution concession at a selected municipality"/>
    <d v="2021-11-01T00:00:00"/>
    <x v="45"/>
  </r>
  <r>
    <x v="116"/>
    <x v="0"/>
    <s v="New PV"/>
    <n v="82331"/>
    <n v="1449848.91"/>
    <x v="4"/>
    <x v="64"/>
    <m/>
    <m/>
    <x v="0"/>
    <s v="1. Assessment of barriers and enablers to rooftop solar uptake in South Africa 2.Ad hoc transaction support for South African energy companies 3. Transaction support for C&amp;I plant development"/>
    <d v="2021-11-01T00:00:00"/>
    <x v="45"/>
  </r>
  <r>
    <x v="117"/>
    <x v="2"/>
    <s v="Building capacity for success"/>
    <n v="289656"/>
    <n v="5100842.16"/>
    <x v="4"/>
    <x v="90"/>
    <m/>
    <m/>
    <x v="0"/>
    <s v="1.JET Municipality Readiness and Awareness 2. JET coordination support and awareness raising 3. SA municipality customer education activity (revenue improvement, EE, RE) 4. Community engagement for JET in Mpumalanga 5. SALGA and SAEP support program to Mpumalanga municipalities"/>
    <d v="2022-07-01T00:00:00"/>
    <x v="18"/>
  </r>
  <r>
    <x v="118"/>
    <x v="2"/>
    <s v="Infrastructure: Distribution maintenance"/>
    <n v="38718"/>
    <n v="681823.98"/>
    <x v="4"/>
    <x v="91"/>
    <m/>
    <m/>
    <x v="0"/>
    <s v="SALGA: Municipality network optimization for technical loss reduction"/>
    <d v="2023-03-01T00:00:00"/>
    <x v="18"/>
  </r>
  <r>
    <x v="119"/>
    <x v="2"/>
    <s v="Infrastructure: Electrification backlog"/>
    <n v="579075"/>
    <n v="10197510.75"/>
    <x v="4"/>
    <x v="92"/>
    <m/>
    <m/>
    <x v="0"/>
    <s v="1. SALGA municipality support off/on grid electrification 2. SALGA municipality support Electrification Project Management 3. DMRE Support for Integrated National Electrificiation Plan (INEP) - Electricity Master Planning 4. Options for scaling SHS and other off-grid solutions in South Africa"/>
    <d v="2021-11-01T00:00:00"/>
    <x v="48"/>
  </r>
  <r>
    <x v="120"/>
    <x v="2"/>
    <s v="Capability and capacity"/>
    <n v="1746097"/>
    <n v="30748768.169999998"/>
    <x v="4"/>
    <x v="64"/>
    <m/>
    <m/>
    <x v="0"/>
    <s v="All other municipalities: 1. SALGA project finance fundamentals refresher training for municipalities 2. SALGA – Municipality energy strategy and plan support 3. SALGA knowledge product for JET 4. Support municipalities with approaches and required activities for entering into long-term PPAs with IPPs 5. Musina-Makhado Special Economic Zone (MMSEZ) project finance training 6. Follow-on project finance support to SALGA municipalities 7. SALGA Assist municipalities to assess the viability of deploying battery storage and other new technologies in their systems 8. Transaction support to City Power 9. Power project development support for municipalities"/>
    <d v="2021-11-01T00:00:00"/>
    <x v="45"/>
  </r>
  <r>
    <x v="121"/>
    <x v="2"/>
    <s v="Capability and capacity"/>
    <n v="227368"/>
    <n v="4003950.48"/>
    <x v="4"/>
    <x v="93"/>
    <m/>
    <m/>
    <x v="0"/>
    <s v="City of Cape Town support technical assistance to support: 1. tariff design for IPPs 2. Financial modelling input to 10MW Atlantis Solar Feasibility Study 3. High level pre-feasibility of a 60MWac Solar PV Facility at the Paardevlei site, Somerset-West 4. Energy project transaction support to catalyze investment 5. Energy planning support for load shedding mitigation 6. Risk and commercial review of draft final PPA"/>
    <d v="2021-11-01T00:00:00"/>
    <x v="7"/>
  </r>
  <r>
    <x v="122"/>
    <x v="2"/>
    <s v="Collective planning"/>
    <n v="9219"/>
    <n v="162346.59"/>
    <x v="4"/>
    <x v="91"/>
    <m/>
    <m/>
    <x v="0"/>
    <s v="JET Municipal Integration Support"/>
    <d v="2023-02-01T00:00:00"/>
    <x v="48"/>
  </r>
  <r>
    <x v="123"/>
    <x v="2"/>
    <s v="Revenue Management"/>
    <n v="210699"/>
    <n v="3710409.3899999997"/>
    <x v="4"/>
    <x v="91"/>
    <m/>
    <m/>
    <x v="0"/>
    <s v="1. SAEP and DBSA collaboration, 2. SALGA - Revenue Management 3. SALGA knowledge product for revenue management"/>
    <d v="2022-10-03T00:00:00"/>
    <x v="7"/>
  </r>
  <r>
    <x v="124"/>
    <x v="3"/>
    <s v="Skills hub for JET"/>
    <n v="449743"/>
    <n v="7919974.2299999995"/>
    <x v="4"/>
    <x v="94"/>
    <m/>
    <m/>
    <x v="0"/>
    <s v="1. JET Capacity-building for Women in Energy (Phases 1 and 2) 2. Establishing a Women's JET Champions Learning Network"/>
    <d v="2022-03-01T00:00:00"/>
    <x v="50"/>
  </r>
  <r>
    <x v="125"/>
    <x v="3"/>
    <s v="Renewable Energy Skills"/>
    <n v="1617041"/>
    <n v="28476092.009999998"/>
    <x v="4"/>
    <x v="64"/>
    <m/>
    <m/>
    <x v="0"/>
    <s v="TVET support: JET technical training to women in electrical /RE field Phases 1 and 2"/>
    <d v="2022-03-01T00:00:00"/>
    <x v="50"/>
  </r>
  <r>
    <x v="126"/>
    <x v="2"/>
    <s v="Variety"/>
    <n v="286850"/>
    <n v="5051428.5"/>
    <x v="4"/>
    <x v="64"/>
    <m/>
    <m/>
    <x v="0"/>
    <s v="1. SANEDI VRE Modeling Capacity Building Activity 2. Industry knowledge building: VRE integration 3. VRE Integration Workshops/ Webinars 4. Leading practice regulatory regime to enable merchant plant development in South Africa 5. JET Investor Forum 6. GEAPP Municipal Support Facility Implementation Support 7. Scoping study for healthcare facility electrification using RE 8. Health Facility Support Services Electrification: ANOVA Support"/>
    <d v="2023-03-01T00:00:00"/>
    <x v="45"/>
  </r>
  <r>
    <x v="127"/>
    <x v="0"/>
    <s v="Distribution"/>
    <n v="550000"/>
    <n v="9685500"/>
    <x v="4"/>
    <x v="95"/>
    <m/>
    <m/>
    <x v="0"/>
    <s v="The Department of State, Bureau of Energy Resources' Power Sector Program (ENR/PSP): Electricity regulatory partnership with NERSA implemented by the National Association of Regulatory Utility Commissioners (NARUC). Activities focus on distribution system interconnection fees and standards and on auditing and prudence review of utility investments and procurements. In addition, ENR/PSP is providing new assistance to increase investment in RE generation and to facilitate direct PPAs with RE IPPs As part of this support, ENR/PSP are engaging SALGA and member municipalities to provide support on facilitating wheeling of power between consumers and IPPs, including the development of wheeling charges."/>
    <d v="2022-01-01T00:00:00"/>
    <x v="1"/>
  </r>
  <r>
    <x v="128"/>
    <x v="3"/>
    <s v="Capability and capacity"/>
    <n v="81507"/>
    <n v="1435338.27"/>
    <x v="4"/>
    <x v="96"/>
    <m/>
    <m/>
    <x v="0"/>
    <s v="With support from the United States Agency for International Development (USAID) and Power Africa, the National_x000a_Association of Regulatory Utility Commissioners (NARUC) partnered with the National Energy Regulator of South Africa (NERSA) to provide input and recommendations on the implementation of a new Cost of Supply (COS) Framework for municipality utilities (munis). This engagement was supported with funding from USAID’s Center for Energy, Infrastructure, &amp; Cities (REFS)/Energy Division. Building on a technical peer review held in August-September 2023 of NERSA’s consultation document, Review of Cost of Supply Framework to Develop a New Pricing Methodology for Electricity Distributors in South Africa, this peer-to-peer exchange activity discussed the implementation of the COS framework, cost-reflective tariffs, and periodic tariff adjustments. During the peer-to-peer exchange, NARUC delegates shared their experiences, case studies, and relevant examples of implementing cost-based tariff methodologies as well as performance incentives."/>
    <d v="2023-01-02T00:00:00"/>
    <x v="1"/>
  </r>
  <r>
    <x v="129"/>
    <x v="3"/>
    <s v="Skills"/>
    <n v="1400000"/>
    <n v="24654000"/>
    <x v="4"/>
    <x v="97"/>
    <m/>
    <s v="Varied - public and private sector stakeholders in energy sector, including but not limited to national and subnational entities/organizations, Eskom, NTCSA, IPPs/traders/aggregators, and more."/>
    <x v="1"/>
    <s v="Grant award from Power Africa to support the NBI lead &quot;JET Skills for Employment Program (JET-SEP)&quot;"/>
    <d v="2024-10-04T00:00:00"/>
    <x v="25"/>
  </r>
  <r>
    <x v="130"/>
    <x v="3"/>
    <s v="Mobilise PSET funding for JET"/>
    <n v="2280000"/>
    <n v="40150800"/>
    <x v="5"/>
    <x v="98"/>
    <m/>
    <m/>
    <x v="0"/>
    <s v="The Women-Led Coal Transition Mechanism (WOLCOT): Aims to enhance women’s climate leadership and effective participation in the design and decision-making of coal-to-clean transition strategies and implementation. _x000a_https://w05.international.gc.ca/projectbrowser-banqueprojets/project-projet/details/P010807002 "/>
    <d v="2021-11-01T00:00:00"/>
    <x v="51"/>
  </r>
  <r>
    <x v="131"/>
    <x v="1"/>
    <m/>
    <n v="47720000"/>
    <n v="840349200"/>
    <x v="5"/>
    <x v="64"/>
    <m/>
    <m/>
    <x v="2"/>
    <m/>
    <d v="2023-01-01T00:00:00"/>
    <x v="3"/>
  </r>
  <r>
    <x v="132"/>
    <x v="0"/>
    <s v="Transmission"/>
    <n v="2719500"/>
    <n v="47890395"/>
    <x v="6"/>
    <x v="99"/>
    <s v="Eskom, NERSA, DMRE, IPPO"/>
    <s v="Energy consumers in South Africa"/>
    <x v="1"/>
    <s v="Capacity building with ESKOM and relevant government minsteries and agencies: The Danish Embassy has in collaboration with Danish Energy Agency hosted a program which aims to continually improve the capacity within ESKOM and government ministeries for improving the transmission of electricity in the South African electricity grid, by drawing on the DEA's experience from a Danish context."/>
    <d v="2021-11-01T00:00:00"/>
    <x v="28"/>
  </r>
  <r>
    <x v="133"/>
    <x v="0"/>
    <s v="Distribution "/>
    <n v="3323850"/>
    <n v="58532998.5"/>
    <x v="6"/>
    <x v="100"/>
    <s v="Eskom, NERSA, DMRE, IPPO"/>
    <s v="Energy consumers in South Africa"/>
    <x v="1"/>
    <s v="Capacity building with ESKOM and relevant government minsteries and agencies: Like for transmission, The Danish Embassy has in collaboration with Danish Energy Agency hosted a program which aims to continually improve the capacity within ESKOM and government ministeries for improving the distribution of electricity in the South African electricity grid, by drawing on the DEA's experience from a Danish context. "/>
    <d v="2021-11-01T00:00:00"/>
    <x v="28"/>
  </r>
  <r>
    <x v="134"/>
    <x v="1"/>
    <s v="Improving infrastructure for development"/>
    <n v="163050"/>
    <n v="2871310.5"/>
    <x v="6"/>
    <x v="101"/>
    <s v="GreenCape, Mpumalanga Green Cluster Agency (MGCA)"/>
    <s v="Owners of mining rights; Investors and developers of RE capacity in Mpumalanga; Planners in Mpumalanga Province"/>
    <x v="1"/>
    <s v="Mining Rights Mapping and Planning in Mpumalanga: To be overlaid with other information available to support the rolling out of large-scale RE in Mpumalanga province"/>
    <d v="2022-10-11T00:00:00"/>
    <x v="1"/>
  </r>
  <r>
    <x v="135"/>
    <x v="1"/>
    <s v="Improving infrastructure for development"/>
    <n v="399450"/>
    <n v="7034314.5"/>
    <x v="6"/>
    <x v="102"/>
    <s v="GreenCape Alternative Service Delivery Unit (ASDU), Community Organisation Research Council (CORC), MGCA;  Residents of Nomzamo Agricultural Village in Ermelo, Mpumalanga"/>
    <s v="Citizens in Nomzamo Agricultural Village in Mpumalanga; local municipalities in the Mpumalanga Province"/>
    <x v="1"/>
    <s v="Mining Rights Mapping and Planning in Mpumalanga: To be overlaid with other information available (Biodiversity areas, land ownership, wind measurements, bird flight pathways etc.) to support the rolling out of large-scale RE in Mpumalanga province."/>
    <d v="2022-10-11T00:00:00"/>
    <x v="1"/>
  </r>
  <r>
    <x v="136"/>
    <x v="1"/>
    <s v="Improving infrastructure for development"/>
    <n v="2250000"/>
    <n v="39622500"/>
    <x v="6"/>
    <x v="103"/>
    <s v="SANEDI, CSIR, SAWS"/>
    <s v="Renewable energy policy makers and developers"/>
    <x v="1"/>
    <s v="Alternative Basic Service Delivery: In Nomzamo Agricultural Village in Mpumalanga, including a common understanding of the required framework conditions for local municipalities in the province to explore alternative service delivery models."/>
    <d v="2023-01-01T00:00:00"/>
    <x v="3"/>
  </r>
  <r>
    <x v="137"/>
    <x v="0"/>
    <s v="Piloting social ownership models_x000a_Labor Market Consortium"/>
    <n v="3158550"/>
    <n v="55622065.5"/>
    <x v="6"/>
    <x v="104"/>
    <s v="NBI, NUMSA, NUM, BUSA, SEIFSA, Western Cape Province"/>
    <s v="Labour market organisations and members"/>
    <x v="1"/>
    <s v="Just transition and labour market arrangements within green transition and climate: Projects involve supporting and developing small local businesses and upskilling and education of local workforces, and promoting local engagement."/>
    <d v="2022-01-01T00:00:00"/>
    <x v="14"/>
  </r>
  <r>
    <x v="138"/>
    <x v="3"/>
    <s v="Mobilise PSET funding for JET"/>
    <n v="945000"/>
    <n v="16641450"/>
    <x v="6"/>
    <x v="105"/>
    <s v="Program partner institutions in South Africa (ministries, metros, utilities, and research institutions, etc.)"/>
    <s v="Scholars and their institutions in South Africa"/>
    <x v="1"/>
    <s v="Master scholarships for South African partner insitutions, focussing on green and climate related topics: On average two South African partners are awarded with a 2-year scholarship to study in Denmark annually on topics related to green transition and climate change."/>
    <d v="2022-01-01T00:00:00"/>
    <x v="3"/>
  </r>
  <r>
    <x v="139"/>
    <x v="3"/>
    <s v="Mobilise PSET funding for JET"/>
    <n v="1687500"/>
    <n v="29716875"/>
    <x v="6"/>
    <x v="105"/>
    <s v="Program partner institutions in South Africa (ministries, metros, utilities, and research institutions, etc.)"/>
    <s v="Scholars and their institutions in South Africa"/>
    <x v="1"/>
    <s v="Short courses on cross thematic areas for South African programme partners: On average 50 scholars benefit from the short courses on an annual basis, learning programme topics include energy efficiency, green transition, climate change, RE, food and agriculture, water management, sustainable cities."/>
    <d v="2022-01-01T00:00:00"/>
    <x v="3"/>
  </r>
  <r>
    <x v="140"/>
    <x v="3"/>
    <s v="Mobilise PSET funding for JET"/>
    <n v="6300000"/>
    <n v="110943000"/>
    <x v="6"/>
    <x v="105"/>
    <s v="Research institutions in South Africa"/>
    <s v="Students and research community in South Africa and Denmark"/>
    <x v="1"/>
    <s v="Research grants for green research consortia South Africa: Research collaboration on water, energy and, urban development between South Africa and Denmark. Currently, 5 research collaborations ongoing, and 5 research collaborations in the pipeline. "/>
    <d v="2022-01-01T00:00:00"/>
    <x v="3"/>
  </r>
  <r>
    <x v="141"/>
    <x v="1"/>
    <s v="Entrepreneurship and innovation"/>
    <n v="75000"/>
    <n v="1320750"/>
    <x v="6"/>
    <x v="106"/>
    <s v="Teach A Man to Fish and 10 selected schools in Mpumalanga"/>
    <s v="Upper Primary Students (grade 8-10) and teachers at 10 different secondary schools in Mpumalanga"/>
    <x v="1"/>
    <s v="Skills Development in Mpumalanga to ensure a just energy transition: The project focuses on equipping youth in the Mpumalanga region with entrepreneurial and green energy-related skills. The aim is that participants can create their own job possibilites related to energy transition."/>
    <d v="2024-07-31T00:00:00"/>
    <x v="52"/>
  </r>
  <r>
    <x v="142"/>
    <x v="0"/>
    <s v="Capacity building in the energy sector"/>
    <n v="120000"/>
    <n v="2113200"/>
    <x v="6"/>
    <x v="107"/>
    <s v="SAWEA"/>
    <s v="Participants in the various initiatives and events"/>
    <x v="1"/>
    <s v="Positioning wind energy as a contributor to global decarbonisation strategies: A collaboration with SAWEA where key outcomes are paper presentations at the annual WindAc Africa Conference; visiting schools in Mpumalanga and reaching 1500-2000 learners during the EnergyDrive in the province; networking events where operational best practice and innovation are showcased and discussed; learners participating in the Wind Industry Internship Programme; commissioning research study on a relevant topic."/>
    <d v="2023-06-25T00:00:00"/>
    <x v="1"/>
  </r>
  <r>
    <x v="143"/>
    <x v="1"/>
    <s v="Diversifying local economies"/>
    <n v="2160000"/>
    <n v="38037600"/>
    <x v="7"/>
    <x v="108"/>
    <s v="Eskom, Dipaleseng municipality, Mpumalanga Green Cluster Agency, Mpumalanga province"/>
    <s v="Local communities in Dipaleseng municipality, Eskom employees"/>
    <x v="1"/>
    <s v="Grootvlei Just Transition: Multiple activities to support the decommissioning of the Grootvlei power station by facilitating the development of alternative livelihoods in the area."/>
    <d v="2022-01-01T00:00:00"/>
    <x v="14"/>
  </r>
  <r>
    <x v="144"/>
    <x v="1"/>
    <s v="Investing in youth"/>
    <n v="186580.56489795921"/>
    <n v="3285683.7478530616"/>
    <x v="7"/>
    <x v="109"/>
    <s v="SAIIA Youth"/>
    <s v="Youth across South Africa"/>
    <x v="1"/>
    <s v="Youth in Action: Youth-driven project to support participation of youth in climate debates and decision-making."/>
    <d v="2022-11-15T00:00:00"/>
    <x v="53"/>
  </r>
  <r>
    <x v="145"/>
    <x v="2"/>
    <s v="Supporting local water authorities/municipalities on water management"/>
    <n v="1867752.0000000002"/>
    <n v="32891112.720000003"/>
    <x v="7"/>
    <x v="110"/>
    <s v="Department of Water and Sanitation, COGTA, SALGA, MISA, Municipalities"/>
    <s v="Mbombela municipality"/>
    <x v="1"/>
    <s v="Blue Deal - partnership between NL and SA on water management: One of the 5 projects is in Mpumalanga. Aims to provide 2 million people with access to sufficient, safe and reliable water by 2030. Works at 5 different project, including one in Mbombela, Mpumalanga. Total budget is 8 mln euros."/>
    <d v="2023-01-01T00:00:00"/>
    <x v="35"/>
  </r>
  <r>
    <x v="146"/>
    <x v="5"/>
    <s v="SA-H2 Fund"/>
    <n v="54000000"/>
    <n v="950940000"/>
    <x v="7"/>
    <x v="111"/>
    <s v="TBD"/>
    <s v="TBD"/>
    <x v="2"/>
    <s v="Grant component of the SA-H2 fund: SA-H2 is an innovative blended finance fund, that will facilitate and accelerate the development of a green hydrogen sector and circular economy in South Africa."/>
    <d v="2023-01-01T00:00:00"/>
    <x v="35"/>
  </r>
  <r>
    <x v="147"/>
    <x v="5"/>
    <s v="Accelerating the green hydrogen economy"/>
    <n v="2160000"/>
    <n v="38037600"/>
    <x v="7"/>
    <x v="112"/>
    <s v="Wesgro, NCEDA, Presidency, CSIR"/>
    <s v="Youth, local communities, SA private sector, SA knowledge insitutes"/>
    <x v="1"/>
    <s v="Budget for studies/TA/seminars etc., to acccelerate the green hydrogen economy: Multiple activities to support skills development and feasibility studies to accelerate the green hydrogen economy."/>
    <d v="2022-01-01T00:00:00"/>
    <x v="14"/>
  </r>
  <r>
    <x v="148"/>
    <x v="1"/>
    <s v="Strengthening social dialogue in the mining sector"/>
    <n v="384054.48000000004"/>
    <n v="6763199.3928000005"/>
    <x v="7"/>
    <x v="113"/>
    <s v="To be identified"/>
    <s v="Workers in the mineral mining sector (manganese and chromium)"/>
    <x v="1"/>
    <s v="Enabling local unions to push for improved working conditions in the mining sector and a fair transition: CNV International will work with local unions in the mining industry to support with skills and information that enable local unions to push for improved working conditions in the mining sector (i.e. manganese and chromium) and a fair transition out of the coal mining sector."/>
    <d v="2023-01-01T00:00:00"/>
    <x v="14"/>
  </r>
  <r>
    <x v="149"/>
    <x v="3"/>
    <s v="Mobilise PSET funding for JET"/>
    <n v="600400"/>
    <n v="10573044"/>
    <x v="8"/>
    <x v="114"/>
    <m/>
    <m/>
    <x v="1"/>
    <s v="A just energy transition: Localization, decent work, SMMEs and sustainable livelihoods. The project will analyze clean energy value chains and their relationships with the rest of the economy. This approach provides an interdisciplinary framework for unpacking the complex issues in the clean energy value chain. It will trace consumption and production to the practices, history and relations that are reproduced within the clean energy value chains by analyzing them at different levels, including agents and agencies, structures, processes, relations and the cultural and contextual factors._x000a_https://idrc-crdi.ca/en/project/just-energy-transition-localization-decent-work-smmes-and-sustainable-livelihoods"/>
    <d v="2021-11-01T00:00:00"/>
    <x v="29"/>
  </r>
  <r>
    <x v="150"/>
    <x v="3"/>
    <s v="Mobilise PSET funding for JET"/>
    <n v="190000"/>
    <n v="3345900"/>
    <x v="8"/>
    <x v="115"/>
    <m/>
    <m/>
    <x v="1"/>
    <s v="Enhancing access to renewable energy: A dividend for a just transition to low-carbon economies. This project will address these knowledge gaps by developing a practical framework that can inform future developments and the implementation of just transition pathways. It will assess the effectiveness of different renewable energy technologies in accelerating green jobs creation and a low-carbon trajectory in Uganda and South Africa; analyze the equity and distribution implications of energy transition in vulnerable communities across gender, age, and income groups; develop potential financial and business models to deliver a just transition pathway; and explore appropriate policy and regulatory interventions. The project will generate recommendations for future research and targeted policy interventions._x000a_https://idrc-crdi.ca/en/project/enhancing-access-renewable-energy-dividend-just-transition-low-carbon-economies"/>
    <d v="2021-11-01T00:00:00"/>
    <x v="29"/>
  </r>
  <r>
    <x v="151"/>
    <x v="3"/>
    <s v="Mobilise PSET funding for JET"/>
    <n v="304000"/>
    <n v="5353440"/>
    <x v="8"/>
    <x v="116"/>
    <m/>
    <m/>
    <x v="1"/>
    <s v="Unlocking Inclusive Policymaking In Priority Areas for Clean Energy Transition: Cooking, Irrigation and Coal Phase Outs. This project will contribute to addressing three key areas of importance for energy transition (in India, Indonesia, and South Africa) where knowledge gaps are holding back inclusive change, particularly for women and youth, but also marginalized groups. The specific themes have been selected based on experience from IISD’s country programmes on the current state of the debate; the opportunity for transformative change from the application of these elements of transition; and our belief that the impacts of policies on women, youth and marginalized groups has not been sufficiently understood or given adequate consideration in policymaking. The selected themes are:_x000a_1. Incubating non-fossil clean cooking solutions (India and Indonesia)_x000a_2. Maximizing the social benefits of solar irrigation (India)_x000a_3. Ensuring an inclusive approach to just transition for coal mining communities (India and South Africa)_x000a_This project covers India, Indonesia and South Africa. The tentative amount for South Africa is CAD$ 400,000. Start date: 1 Jan 2023. End date: June 2026. "/>
    <d v="2023-01-01T00:00:00"/>
    <x v="54"/>
  </r>
  <r>
    <x v="152"/>
    <x v="3"/>
    <s v="Mobilise PSET funding for JET"/>
    <n v="159600"/>
    <n v="2810556"/>
    <x v="8"/>
    <x v="117"/>
    <m/>
    <m/>
    <x v="1"/>
    <s v="Operationalising a just transition in Africa: This project will conduct an in-depth analysis of the pathways to achieving transitions towards sustainable, low-carbon and equitable energy systems, including an assessment of capacity needs and skills. It will identify and analyze innovative options for financing in line with emerging energy goals. These include providing at least USD300 million to Africa’s access to clean energy, launched at COP 27, and increasing the continent’s renewable energy capacity to 25% of global renewable energy investments._x000a__x000a_Project outputs will include journal articles on topics related to energy and just transition focusing on challenges and opportunities for gender equality and youth participation and leadership. Several policy briefs, produced in collaboration with national stakeholders and researchers, will identify policy-oriented entry points. This project covers Kenya and South Africa. Total project amount: CAD$ 703,100. The tentative amount for South Africa is CAD$ 210,000. Start date: 1 March 2023 for 30 months)._x000a_https://idrc-crdi.ca/en/project/operationalizing-just-transition-africa "/>
    <d v="2023-03-01T00:00:00"/>
    <x v="54"/>
  </r>
  <r>
    <x v="153"/>
    <x v="2"/>
    <s v="Municipal revenue modelling"/>
    <n v="1110000"/>
    <n v="19547100"/>
    <x v="9"/>
    <x v="118"/>
    <s v="Beneficiary municipalities"/>
    <s v="Municipalities"/>
    <x v="1"/>
    <s v="INCA Capacity Building Fund: Support to development and training on long term financial strategies &amp; modelling, INCA Summer School and Master Classes.  Access to debt funding through the INCA Municipal Debt Fund"/>
    <d v="2021-11-01T00:00:00"/>
    <x v="1"/>
  </r>
  <r>
    <x v="154"/>
    <x v="2"/>
    <s v="Local Economic Development "/>
    <n v="2480528.4108000002"/>
    <n v="43682105.314188004"/>
    <x v="9"/>
    <x v="119"/>
    <s v="National Treasury, KZN DEDTEA "/>
    <s v="iLembe District municipalities"/>
    <x v="1"/>
    <s v="iLembe Local Economic Development Programme: Support to asset management and master planning, revenue and supply chain management, installation of a SCADA system, support to non-revenue electricity "/>
    <d v="2021-11-01T00:00:00"/>
    <x v="1"/>
  </r>
  <r>
    <x v="155"/>
    <x v="2"/>
    <s v="Public financial management "/>
    <n v="7781100.0000000009"/>
    <n v="137025171"/>
    <x v="9"/>
    <x v="120"/>
    <s v="National Treasury "/>
    <s v="Provincial Treasuries, municipalities in Free State &amp; Mpumalanga"/>
    <x v="1"/>
    <s v="PINK (Procurement, Infrastructure Development &amp; Knowledge Management): Technical assistance to selected municipalities on procurement and SCM, infrastructure planning (with the implementation of the Infrastructure Delivery Management System (IDMS) &amp; knowledge management (e.g. communities of practice)"/>
    <d v="2021-11-01T00:00:00"/>
    <x v="1"/>
  </r>
  <r>
    <x v="156"/>
    <x v="3"/>
    <s v="Skills development for a green economy"/>
    <n v="5494500.0000000009"/>
    <n v="96758145.000000015"/>
    <x v="9"/>
    <x v="121"/>
    <s v="Department of Higher Education &amp; Training "/>
    <s v="TVET colleges"/>
    <x v="1"/>
    <s v="Career Path Development for Employment (CPD4E) - SECO: Applying a more integrated employment promotion approach, i.e. shift from the exclusive focus on improving the quality of TVETs and will focus on employment promotion."/>
    <d v="2022-06-01T00:00:00"/>
    <x v="38"/>
  </r>
  <r>
    <x v="157"/>
    <x v="0"/>
    <s v="Municipal energy management systems"/>
    <n v="1110000"/>
    <n v="19547100"/>
    <x v="9"/>
    <x v="122"/>
    <s v="Department of Electricity &amp; Energy "/>
    <s v="Participating municipalities "/>
    <x v="1"/>
    <s v="South African German Energy Programme 4 - support to selected municipalities in the development of energy management systems and retrofitting of street lighting with energy efficient technology."/>
    <d v="2022-01-01T00:00:00"/>
    <x v="25"/>
  </r>
  <r>
    <x v="158"/>
    <x v="2"/>
    <s v="Cities Support Programme"/>
    <n v="8996550"/>
    <n v="158429245.5"/>
    <x v="9"/>
    <x v="123"/>
    <s v="National Treasury "/>
    <s v="Metropolitan municipalities"/>
    <x v="1"/>
    <s v="Just Urban Transition and Resilience focus for Cities Support Programme: Support to South Africa's eight metros in financial and fiscal governance, climate resilient infrastructure and water resilience, and economic development. Plans are underway for a stronger focus on JUT from 2025 onwards."/>
    <d v="2021-11-01T00:00:00"/>
    <x v="25"/>
  </r>
  <r>
    <x v="159"/>
    <x v="0"/>
    <s v="Eco-Industrial Parks Programme"/>
    <n v="1110000"/>
    <n v="19547100"/>
    <x v="9"/>
    <x v="124"/>
    <s v="Department of Trade, Industry &amp; Competition "/>
    <s v="Selected industrial parks"/>
    <x v="1"/>
    <s v="Resource efficiency in industrial parks: Support for resource efficiency in selected industrial parks with potential spin-off projects in renewal energy and energy storage. The programme entered Phase II in 2024."/>
    <d v="2021-11-01T00:00:00"/>
    <x v="37"/>
  </r>
  <r>
    <x v="160"/>
    <x v="0"/>
    <s v="Multi-Country Investment Climate Programme"/>
    <n v="3663000.0000000005"/>
    <n v="64505430.000000007"/>
    <x v="9"/>
    <x v="125"/>
    <s v="Department of Trade, Industry &amp; Competition "/>
    <s v="InvestSA"/>
    <x v="1"/>
    <s v="Phase II to look into supporting IPP funding mechanisms: MCICP aims to foster reliable economic framework conditions for robust private sector growth, to design and implement systemic investment climate reforms, and to foster inclusive and sustainable job creation. Under Phase II, support is provided to the enabling environment for doing business (e.g. a one stop shop for IPP investments)"/>
    <d v="2021-11-01T00:00:00"/>
    <x v="55"/>
  </r>
  <r>
    <x v="161"/>
    <x v="2"/>
    <s v="Sustainable Cities "/>
    <n v="7215000"/>
    <n v="127056150"/>
    <x v="9"/>
    <x v="126"/>
    <s v="Beneficiary municipalities"/>
    <s v="Municipalities"/>
    <x v="1"/>
    <s v="Sustainable Cities - Africa Platform: Support to participating metros in the development and implementation of climate action plans, energy efficient and resilient infrastructure, for phase II also for secondary cities"/>
    <d v="2021-11-01T00:00:00"/>
    <x v="4"/>
  </r>
  <r>
    <x v="162"/>
    <x v="2"/>
    <s v="Public financial management "/>
    <n v="7781100.0000000009"/>
    <n v="137025171"/>
    <x v="9"/>
    <x v="120"/>
    <s v="National Treasury, Provincial Treasuries "/>
    <s v="Provincial Treasuries, municipalities in Free State &amp; Mpumalanga"/>
    <x v="2"/>
    <s v="PINK Phase II (Procurement, Infrastructure Development &amp; Knowledge Management): Technical assistance to selected municipalities on procurement and SCM, infrastructure planning (with the implementation of the Infrastructure Delivery Management System (IDMS) &amp; knowledge management (e.g. communities of practice)"/>
    <d v="2025-03-31T00:00:00"/>
    <x v="34"/>
  </r>
  <r>
    <x v="163"/>
    <x v="2"/>
    <s v="Water &amp; Sanitation "/>
    <n v="3885000.0000000005"/>
    <n v="68414850"/>
    <x v="9"/>
    <x v="127"/>
    <s v="Department of Water and Sanitation "/>
    <s v="Participating municipalities "/>
    <x v="1"/>
    <s v="Water Partnership SA - Support to development of a bankable project pipeline in water and sanitation, with emphasis on water reuse, water water treatment and non-revenue water"/>
    <d v="2024-10-09T00:00:0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0FCB805-BCAB-8641-BD70-A4604C2AC89A}" name="PivotTable4"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4">
  <location ref="AF5:AG9" firstHeaderRow="1" firstDataRow="1" firstDataCol="1" rowPageCount="1" colPageCount="1"/>
  <pivotFields count="13">
    <pivotField compact="0" outline="0" showAll="0"/>
    <pivotField axis="axisPage" compact="0" outline="0" multipleItemSelectionAllowed="1" showAll="0">
      <items count="7">
        <item x="0"/>
        <item h="1" x="5"/>
        <item h="1" x="1"/>
        <item h="1" x="2"/>
        <item h="1" x="4"/>
        <item h="1" x="3"/>
        <item t="default"/>
      </items>
    </pivotField>
    <pivotField compact="0" outline="0" showAll="0"/>
    <pivotField compact="0" numFmtId="166" outline="0" showAll="0"/>
    <pivotField dataField="1" compact="0" numFmtId="165" outline="0" showAll="0"/>
    <pivotField compact="0" outline="0" showAll="0"/>
    <pivotField compact="0" outline="0" showAll="0"/>
    <pivotField compact="0" outline="0" showAll="0"/>
    <pivotField compact="0" outline="0" showAll="0"/>
    <pivotField axis="axisRow" compact="0" outline="0" showAll="0" sortType="descending">
      <items count="4">
        <item x="2"/>
        <item x="1"/>
        <item x="0"/>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s>
  <rowFields count="1">
    <field x="9"/>
  </rowFields>
  <rowItems count="4">
    <i>
      <x v="1"/>
    </i>
    <i>
      <x/>
    </i>
    <i>
      <x v="2"/>
    </i>
    <i t="grand">
      <x/>
    </i>
  </rowItems>
  <colItems count="1">
    <i/>
  </colItems>
  <pageFields count="1">
    <pageField fld="1" hier="-1"/>
  </pageFields>
  <dataFields count="1">
    <dataField name="Sum of Total ZAR" fld="4" baseField="0" baseItem="0" numFmtId="165"/>
  </dataFields>
  <chartFormats count="4">
    <chartFormat chart="2" format="6" series="1">
      <pivotArea type="data" outline="0" fieldPosition="0">
        <references count="1">
          <reference field="4294967294" count="1" selected="0">
            <x v="0"/>
          </reference>
        </references>
      </pivotArea>
    </chartFormat>
    <chartFormat chart="2" format="7">
      <pivotArea type="data" outline="0" fieldPosition="0">
        <references count="2">
          <reference field="4294967294" count="1" selected="0">
            <x v="0"/>
          </reference>
          <reference field="9" count="1" selected="0">
            <x v="1"/>
          </reference>
        </references>
      </pivotArea>
    </chartFormat>
    <chartFormat chart="2" format="8">
      <pivotArea type="data" outline="0" fieldPosition="0">
        <references count="2">
          <reference field="4294967294" count="1" selected="0">
            <x v="0"/>
          </reference>
          <reference field="9" count="1" selected="0">
            <x v="0"/>
          </reference>
        </references>
      </pivotArea>
    </chartFormat>
    <chartFormat chart="2" format="9">
      <pivotArea type="data" outline="0" fieldPosition="0">
        <references count="2">
          <reference field="4294967294" count="1" selected="0">
            <x v="0"/>
          </reference>
          <reference field="9"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6AB5AFE-37D2-1E42-93CF-B9C96D900E4E}" name="PivotTable8"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1">
  <location ref="X5:Y11" firstHeaderRow="1" firstDataRow="1" firstDataCol="1" rowPageCount="1" colPageCount="1"/>
  <pivotFields count="13">
    <pivotField compact="0" outline="0" showAll="0"/>
    <pivotField axis="axisRow" compact="0" outline="0" showAll="0" sortType="descending">
      <items count="7">
        <item x="0"/>
        <item x="5"/>
        <item x="1"/>
        <item x="2"/>
        <item x="4"/>
        <item x="3"/>
        <item t="default"/>
      </items>
      <autoSortScope>
        <pivotArea dataOnly="0" outline="0" fieldPosition="0">
          <references count="1">
            <reference field="4294967294" count="1" selected="0">
              <x v="0"/>
            </reference>
          </references>
        </pivotArea>
      </autoSortScope>
    </pivotField>
    <pivotField compact="0" outline="0" showAll="0"/>
    <pivotField compact="0" numFmtId="166" outline="0" showAll="0"/>
    <pivotField dataField="1" compact="0" numFmtId="165" outline="0" showAll="0"/>
    <pivotField axis="axisPage" compact="0" outline="0" multipleItemSelectionAllowed="1" showAll="0">
      <items count="11">
        <item h="1" x="5"/>
        <item h="1" x="8"/>
        <item h="1" x="6"/>
        <item h="1" x="0"/>
        <item h="1" x="3"/>
        <item x="2"/>
        <item h="1" x="7"/>
        <item h="1" x="9"/>
        <item h="1" x="1"/>
        <item h="1" x="4"/>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6">
    <i>
      <x/>
    </i>
    <i>
      <x v="1"/>
    </i>
    <i>
      <x v="2"/>
    </i>
    <i>
      <x v="5"/>
    </i>
    <i>
      <x v="3"/>
    </i>
    <i t="grand">
      <x/>
    </i>
  </rowItems>
  <colItems count="1">
    <i/>
  </colItems>
  <pageFields count="1">
    <pageField fld="5" hier="-1"/>
  </pageFields>
  <dataFields count="1">
    <dataField name="Sum of Total ZAR" fld="4" baseField="0" baseItem="0" numFmtId="165"/>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 count="1" selected="0">
            <x v="0"/>
          </reference>
        </references>
      </pivotArea>
    </chartFormat>
    <chartFormat chart="0" format="2">
      <pivotArea type="data" outline="0" fieldPosition="0">
        <references count="2">
          <reference field="4294967294" count="1" selected="0">
            <x v="0"/>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4200938-C5EB-7346-8506-A9BE4421DB1C}" name="PivotTable3"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6">
  <location ref="K5:L51" firstHeaderRow="1" firstDataRow="1" firstDataCol="1" rowPageCount="1" colPageCount="1"/>
  <pivotFields count="13">
    <pivotField axis="axisRow" compact="0" outline="0" showAll="0" sortType="descending">
      <items count="165">
        <item x="130"/>
        <item x="131"/>
        <item x="149"/>
        <item x="150"/>
        <item x="151"/>
        <item x="152"/>
        <item x="132"/>
        <item x="133"/>
        <item x="134"/>
        <item x="135"/>
        <item x="136"/>
        <item x="137"/>
        <item x="138"/>
        <item x="139"/>
        <item x="140"/>
        <item x="141"/>
        <item x="142"/>
        <item x="0"/>
        <item x="1"/>
        <item x="2"/>
        <item x="3"/>
        <item x="4"/>
        <item x="5"/>
        <item x="6"/>
        <item x="7"/>
        <item x="75"/>
        <item x="76"/>
        <item x="77"/>
        <item x="78"/>
        <item x="79"/>
        <item x="80"/>
        <item x="81"/>
        <item x="82"/>
        <item x="83"/>
        <item x="84"/>
        <item x="85"/>
        <item x="86"/>
        <item x="87"/>
        <item x="88"/>
        <item x="89"/>
        <item x="90"/>
        <item x="91"/>
        <item x="92"/>
        <item x="93"/>
        <item x="94"/>
        <item x="53"/>
        <item x="54"/>
        <item x="55"/>
        <item x="56"/>
        <item x="57"/>
        <item x="58"/>
        <item x="59"/>
        <item x="60"/>
        <item x="61"/>
        <item x="62"/>
        <item x="63"/>
        <item x="64"/>
        <item x="65"/>
        <item x="66"/>
        <item x="67"/>
        <item x="68"/>
        <item x="69"/>
        <item x="70"/>
        <item x="71"/>
        <item x="72"/>
        <item x="73"/>
        <item x="74"/>
        <item x="143"/>
        <item x="144"/>
        <item x="145"/>
        <item x="146"/>
        <item x="147"/>
        <item x="148"/>
        <item x="153"/>
        <item x="154"/>
        <item x="155"/>
        <item x="156"/>
        <item x="157"/>
        <item x="158"/>
        <item x="159"/>
        <item x="160"/>
        <item x="161"/>
        <item x="162"/>
        <item x="163"/>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t="default"/>
      </items>
      <autoSortScope>
        <pivotArea dataOnly="0" outline="0" fieldPosition="0">
          <references count="1">
            <reference field="4294967294" count="1" selected="0">
              <x v="0"/>
            </reference>
          </references>
        </pivotArea>
      </autoSortScope>
    </pivotField>
    <pivotField axis="axisPage" compact="0" outline="0" multipleItemSelectionAllowed="1" showAll="0">
      <items count="7">
        <item x="0"/>
        <item h="1" x="5"/>
        <item h="1" x="1"/>
        <item h="1" x="2"/>
        <item h="1" x="4"/>
        <item h="1" x="3"/>
        <item t="default"/>
      </items>
    </pivotField>
    <pivotField compact="0" outline="0" showAll="0"/>
    <pivotField compact="0" numFmtId="166" outline="0" showAll="0"/>
    <pivotField dataField="1" compact="0" numFmtId="165"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46">
    <i>
      <x v="24"/>
    </i>
    <i>
      <x v="53"/>
    </i>
    <i>
      <x v="52"/>
    </i>
    <i>
      <x v="47"/>
    </i>
    <i>
      <x v="46"/>
    </i>
    <i>
      <x v="141"/>
    </i>
    <i>
      <x v="45"/>
    </i>
    <i>
      <x v="84"/>
    </i>
    <i>
      <x v="50"/>
    </i>
    <i>
      <x v="80"/>
    </i>
    <i>
      <x v="7"/>
    </i>
    <i>
      <x v="49"/>
    </i>
    <i>
      <x v="11"/>
    </i>
    <i>
      <x v="124"/>
    </i>
    <i>
      <x v="125"/>
    </i>
    <i>
      <x v="6"/>
    </i>
    <i>
      <x v="18"/>
    </i>
    <i>
      <x v="85"/>
    </i>
    <i>
      <x v="140"/>
    </i>
    <i>
      <x v="128"/>
    </i>
    <i>
      <x v="79"/>
    </i>
    <i>
      <x v="77"/>
    </i>
    <i>
      <x v="142"/>
    </i>
    <i>
      <x v="25"/>
    </i>
    <i>
      <x v="147"/>
    </i>
    <i>
      <x v="161"/>
    </i>
    <i>
      <x v="149"/>
    </i>
    <i>
      <x v="126"/>
    </i>
    <i>
      <x v="93"/>
    </i>
    <i>
      <x v="135"/>
    </i>
    <i>
      <x v="136"/>
    </i>
    <i>
      <x v="134"/>
    </i>
    <i>
      <x v="26"/>
    </i>
    <i>
      <x v="139"/>
    </i>
    <i>
      <x v="106"/>
    </i>
    <i>
      <x v="41"/>
    </i>
    <i>
      <x v="87"/>
    </i>
    <i>
      <x v="31"/>
    </i>
    <i>
      <x v="17"/>
    </i>
    <i>
      <x v="16"/>
    </i>
    <i>
      <x v="86"/>
    </i>
    <i>
      <x v="148"/>
    </i>
    <i>
      <x v="150"/>
    </i>
    <i>
      <x v="94"/>
    </i>
    <i>
      <x v="20"/>
    </i>
    <i t="grand">
      <x/>
    </i>
  </rowItems>
  <colItems count="1">
    <i/>
  </colItems>
  <pageFields count="1">
    <pageField fld="1" hier="-1"/>
  </pageFields>
  <dataFields count="1">
    <dataField name="Sum of Total ZAR" fld="4"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7F2410B-8FBC-7E41-B431-B6A4F82F0121}" name="PivotTable2"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5">
  <location ref="B5:C9" firstHeaderRow="1" firstDataRow="1" firstDataCol="1" rowPageCount="1" colPageCount="1"/>
  <pivotFields count="13">
    <pivotField compact="0" outline="0" showAll="0"/>
    <pivotField compact="0" outline="0" showAll="0"/>
    <pivotField compact="0" outline="0" showAll="0"/>
    <pivotField compact="0" numFmtId="166" outline="0" showAll="0"/>
    <pivotField dataField="1" compact="0" numFmtId="165" outline="0" showAll="0"/>
    <pivotField axis="axisPage" compact="0" outline="0" multipleItemSelectionAllowed="1" showAll="0">
      <items count="11">
        <item h="1" x="5"/>
        <item h="1" x="8"/>
        <item h="1" x="6"/>
        <item h="1" x="0"/>
        <item h="1" x="3"/>
        <item h="1" x="2"/>
        <item x="7"/>
        <item h="1" x="9"/>
        <item h="1" x="1"/>
        <item h="1" x="4"/>
        <item t="default"/>
      </items>
    </pivotField>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57">
        <item x="51"/>
        <item x="19"/>
        <item x="17"/>
        <item x="12"/>
        <item x="13"/>
        <item x="9"/>
        <item x="16"/>
        <item x="21"/>
        <item x="7"/>
        <item x="15"/>
        <item x="49"/>
        <item x="20"/>
        <item x="11"/>
        <item x="6"/>
        <item x="0"/>
        <item x="2"/>
        <item x="10"/>
        <item x="48"/>
        <item x="45"/>
        <item x="18"/>
        <item x="50"/>
        <item x="44"/>
        <item x="29"/>
        <item x="43"/>
        <item x="1"/>
        <item x="27"/>
        <item x="8"/>
        <item x="38"/>
        <item x="24"/>
        <item x="25"/>
        <item x="53"/>
        <item x="41"/>
        <item x="26"/>
        <item x="5"/>
        <item x="14"/>
        <item x="52"/>
        <item x="22"/>
        <item x="28"/>
        <item x="54"/>
        <item x="32"/>
        <item x="55"/>
        <item x="4"/>
        <item x="46"/>
        <item x="30"/>
        <item x="23"/>
        <item x="31"/>
        <item x="33"/>
        <item x="47"/>
        <item x="42"/>
        <item x="39"/>
        <item x="3"/>
        <item x="37"/>
        <item x="34"/>
        <item x="36"/>
        <item x="35"/>
        <item x="40"/>
        <item t="default"/>
      </items>
    </pivotField>
  </pivotFields>
  <rowFields count="1">
    <field x="12"/>
  </rowFields>
  <rowItems count="4">
    <i>
      <x v="30"/>
    </i>
    <i>
      <x v="34"/>
    </i>
    <i>
      <x v="54"/>
    </i>
    <i t="grand">
      <x/>
    </i>
  </rowItems>
  <colItems count="1">
    <i/>
  </colItems>
  <pageFields count="1">
    <pageField fld="5" hier="-1"/>
  </pageFields>
  <dataFields count="1">
    <dataField name="Sum of Total ZAR" fld="4" baseField="0" baseItem="0" numFmtId="165"/>
  </dataField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65F2357-7763-A840-94A0-725064A92106}" name="PivotTable5"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4">
  <location ref="AZ5:BA11" firstHeaderRow="1" firstDataRow="1" firstDataCol="1" rowPageCount="1" colPageCount="1"/>
  <pivotFields count="13">
    <pivotField compact="0" outline="0" showAll="0"/>
    <pivotField axis="axisRow" compact="0" outline="0" showAll="0" sortType="descending">
      <items count="7">
        <item x="0"/>
        <item x="5"/>
        <item x="1"/>
        <item x="2"/>
        <item x="4"/>
        <item x="3"/>
        <item t="default"/>
      </items>
      <autoSortScope>
        <pivotArea dataOnly="0" outline="0" fieldPosition="0">
          <references count="1">
            <reference field="4294967294" count="1" selected="0">
              <x v="0"/>
            </reference>
          </references>
        </pivotArea>
      </autoSortScope>
    </pivotField>
    <pivotField compact="0" outline="0" showAll="0"/>
    <pivotField compact="0" numFmtId="166" outline="0" showAll="0"/>
    <pivotField dataField="1" compact="0" numFmtId="165" outline="0" showAll="0"/>
    <pivotField compact="0" outline="0" showAll="0"/>
    <pivotField compact="0" outline="0" showAll="0"/>
    <pivotField compact="0" outline="0" showAll="0"/>
    <pivotField compact="0" outline="0" showAll="0"/>
    <pivotField axis="axisPage" compact="0" outline="0" multipleItemSelectionAllowed="1" showAll="0">
      <items count="4">
        <item x="2"/>
        <item h="1" x="1"/>
        <item h="1" x="0"/>
        <item t="default"/>
      </items>
    </pivotField>
    <pivotField compact="0" outline="0" showAll="0"/>
    <pivotField compact="0" outline="0" showAll="0"/>
    <pivotField compact="0" outline="0" showAll="0"/>
  </pivotFields>
  <rowFields count="1">
    <field x="1"/>
  </rowFields>
  <rowItems count="6">
    <i>
      <x v="2"/>
    </i>
    <i>
      <x v="1"/>
    </i>
    <i>
      <x/>
    </i>
    <i>
      <x v="5"/>
    </i>
    <i>
      <x v="3"/>
    </i>
    <i t="grand">
      <x/>
    </i>
  </rowItems>
  <colItems count="1">
    <i/>
  </colItems>
  <pageFields count="1">
    <pageField fld="9" hier="-1"/>
  </pageFields>
  <dataFields count="1">
    <dataField name="Sum of Total ZAR" fld="4" baseField="0" baseItem="0" numFmtId="165"/>
  </dataFields>
  <chartFormats count="3">
    <chartFormat chart="2" format="6" series="1">
      <pivotArea type="data" outline="0" fieldPosition="0">
        <references count="1">
          <reference field="4294967294" count="1" selected="0">
            <x v="0"/>
          </reference>
        </references>
      </pivotArea>
    </chartFormat>
    <chartFormat chart="2" format="7">
      <pivotArea type="data" outline="0" fieldPosition="0">
        <references count="2">
          <reference field="4294967294" count="1" selected="0">
            <x v="0"/>
          </reference>
          <reference field="1" count="1" selected="0">
            <x v="2"/>
          </reference>
        </references>
      </pivotArea>
    </chartFormat>
    <chartFormat chart="2" format="8">
      <pivotArea type="data" outline="0" fieldPosition="0">
        <references count="2">
          <reference field="4294967294" count="1" selected="0">
            <x v="0"/>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A2F5B699-96E9-454B-BA63-027B748D0EA5}" name="PivotTable1"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4">
  <location ref="AN5:AO41" firstHeaderRow="1" firstDataRow="1" firstDataCol="1" rowPageCount="1" colPageCount="1"/>
  <pivotFields count="13">
    <pivotField compact="0" outline="0" showAll="0"/>
    <pivotField axis="axisPage" compact="0" outline="0" multipleItemSelectionAllowed="1" showAll="0">
      <items count="7">
        <item x="0"/>
        <item h="1" x="5"/>
        <item h="1" x="1"/>
        <item h="1" x="2"/>
        <item h="1" x="4"/>
        <item h="1" x="3"/>
        <item t="default"/>
      </items>
    </pivotField>
    <pivotField compact="0" outline="0" showAll="0"/>
    <pivotField compact="0" numFmtId="166" outline="0" showAll="0"/>
    <pivotField dataField="1" compact="0" numFmtId="165" outline="0" showAll="0"/>
    <pivotField compact="0" outline="0" showAll="0"/>
    <pivotField axis="axisRow" compact="0" outline="0" showAll="0" sortType="descending">
      <items count="129">
        <item x="103"/>
        <item x="115"/>
        <item x="17"/>
        <item x="37"/>
        <item x="19"/>
        <item x="9"/>
        <item x="82"/>
        <item x="28"/>
        <item x="93"/>
        <item x="113"/>
        <item x="10"/>
        <item x="25"/>
        <item x="59"/>
        <item x="66"/>
        <item x="70"/>
        <item x="71"/>
        <item x="127"/>
        <item x="95"/>
        <item x="105"/>
        <item x="63"/>
        <item x="62"/>
        <item x="5"/>
        <item x="121"/>
        <item x="60"/>
        <item x="51"/>
        <item x="47"/>
        <item x="48"/>
        <item x="50"/>
        <item x="55"/>
        <item x="87"/>
        <item x="49"/>
        <item x="77"/>
        <item x="46"/>
        <item x="100"/>
        <item x="99"/>
        <item x="65"/>
        <item x="52"/>
        <item x="13"/>
        <item x="102"/>
        <item x="101"/>
        <item x="35"/>
        <item x="80"/>
        <item x="16"/>
        <item x="67"/>
        <item x="56"/>
        <item x="30"/>
        <item x="42"/>
        <item x="43"/>
        <item x="34"/>
        <item x="69"/>
        <item x="54"/>
        <item x="53"/>
        <item x="21"/>
        <item x="114"/>
        <item x="116"/>
        <item x="44"/>
        <item x="57"/>
        <item x="24"/>
        <item x="85"/>
        <item x="89"/>
        <item x="84"/>
        <item x="75"/>
        <item x="92"/>
        <item x="86"/>
        <item x="29"/>
        <item x="112"/>
        <item x="108"/>
        <item x="91"/>
        <item x="110"/>
        <item x="23"/>
        <item x="97"/>
        <item x="11"/>
        <item x="2"/>
        <item x="58"/>
        <item x="104"/>
        <item x="20"/>
        <item x="45"/>
        <item x="73"/>
        <item x="41"/>
        <item x="72"/>
        <item x="0"/>
        <item x="39"/>
        <item x="32"/>
        <item x="40"/>
        <item x="12"/>
        <item x="81"/>
        <item x="27"/>
        <item x="8"/>
        <item x="90"/>
        <item x="107"/>
        <item x="122"/>
        <item x="125"/>
        <item x="126"/>
        <item x="118"/>
        <item x="119"/>
        <item x="120"/>
        <item x="124"/>
        <item x="123"/>
        <item x="109"/>
        <item x="22"/>
        <item x="36"/>
        <item x="117"/>
        <item x="88"/>
        <item x="18"/>
        <item x="111"/>
        <item x="106"/>
        <item x="38"/>
        <item x="61"/>
        <item x="76"/>
        <item x="98"/>
        <item x="83"/>
        <item x="14"/>
        <item x="15"/>
        <item x="78"/>
        <item x="68"/>
        <item x="26"/>
        <item x="3"/>
        <item x="4"/>
        <item x="31"/>
        <item x="33"/>
        <item x="96"/>
        <item x="74"/>
        <item x="79"/>
        <item x="94"/>
        <item x="6"/>
        <item x="7"/>
        <item x="1"/>
        <item x="64"/>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compact="0" outline="0" showAll="0"/>
    <pivotField compact="0" outline="0" showAll="0"/>
  </pivotFields>
  <rowFields count="1">
    <field x="6"/>
  </rowFields>
  <rowItems count="36">
    <i>
      <x v="21"/>
    </i>
    <i>
      <x v="50"/>
    </i>
    <i>
      <x v="51"/>
    </i>
    <i>
      <x v="26"/>
    </i>
    <i>
      <x v="127"/>
    </i>
    <i>
      <x v="25"/>
    </i>
    <i>
      <x v="32"/>
    </i>
    <i>
      <x v="124"/>
    </i>
    <i>
      <x v="24"/>
    </i>
    <i>
      <x v="91"/>
    </i>
    <i>
      <x v="33"/>
    </i>
    <i>
      <x v="27"/>
    </i>
    <i>
      <x v="74"/>
    </i>
    <i>
      <x v="46"/>
    </i>
    <i>
      <x v="47"/>
    </i>
    <i>
      <x v="34"/>
    </i>
    <i>
      <x v="126"/>
    </i>
    <i>
      <x v="125"/>
    </i>
    <i>
      <x v="76"/>
    </i>
    <i>
      <x v="96"/>
    </i>
    <i>
      <x v="90"/>
    </i>
    <i>
      <x v="35"/>
    </i>
    <i>
      <x v="17"/>
    </i>
    <i>
      <x v="15"/>
    </i>
    <i>
      <x v="3"/>
    </i>
    <i>
      <x v="112"/>
    </i>
    <i>
      <x v="13"/>
    </i>
    <i>
      <x v="60"/>
    </i>
    <i>
      <x v="11"/>
    </i>
    <i>
      <x v="80"/>
    </i>
    <i>
      <x v="5"/>
    </i>
    <i>
      <x v="89"/>
    </i>
    <i>
      <x v="87"/>
    </i>
    <i>
      <x v="59"/>
    </i>
    <i>
      <x v="42"/>
    </i>
    <i t="grand">
      <x/>
    </i>
  </rowItems>
  <colItems count="1">
    <i/>
  </colItems>
  <pageFields count="1">
    <pageField fld="1" hier="-1"/>
  </pageFields>
  <dataFields count="1">
    <dataField name="Sum of Total ZAR" fld="4" baseField="0" baseItem="0" numFmtId="165"/>
  </dataFields>
  <chartFormats count="2">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6" count="1" selected="0">
            <x v="2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32B7151-0980-CC41-B16B-1D6FBF97554E}" name="Table819" displayName="Table819" ref="A4:M169" totalsRowCount="1" dataDxfId="322" tableBorderDxfId="321">
  <autoFilter ref="A4:M168" xr:uid="{F32B7151-0980-CC41-B16B-1D6FBF97554E}"/>
  <tableColumns count="13">
    <tableColumn id="1" xr3:uid="{B5226506-9FAC-5B43-94C6-166859886FF3}" name="Unique ID" dataDxfId="320"/>
    <tableColumn id="2" xr3:uid="{CEF73120-5CE7-5843-8C51-748AC4F82F0B}" name="Portfolios" dataDxfId="319"/>
    <tableColumn id="3" xr3:uid="{08EB08F7-4BF6-A94C-9A08-4EC4039B0235}" name="Priority Areas " dataDxfId="318" totalsRowDxfId="317"/>
    <tableColumn id="10" xr3:uid="{72CC10FE-C8A3-814F-8DD2-91D4C2BAA9BC}" name="Total US$ " totalsRowFunction="sum" dataDxfId="316" totalsRowDxfId="315"/>
    <tableColumn id="11" xr3:uid="{7C833297-0EC8-BB40-A486-0C6FD68C9749}" name="Total ZAR" totalsRowFunction="sum" dataDxfId="314" totalsRowDxfId="313">
      <calculatedColumnFormula>Table819[[#This Row],[Total US$ ]]*$E$2</calculatedColumnFormula>
    </tableColumn>
    <tableColumn id="13" xr3:uid="{7EA3D480-6ABB-BB4E-AD50-979C4605A5B8}" name="Source" dataDxfId="312" totalsRowDxfId="311"/>
    <tableColumn id="14" xr3:uid="{AAE4B427-DE96-7F43-BDB8-F9A1A5594C01}" name="Implementing Entity" dataDxfId="310"/>
    <tableColumn id="4" xr3:uid="{7B6CE732-4A03-8443-8EEC-D57FB709AE06}" name="Institutional / South African Partner" dataDxfId="309"/>
    <tableColumn id="5" xr3:uid="{528C62B4-D386-8449-8B12-A17414B45889}" name="Beneficiary" dataDxfId="308"/>
    <tableColumn id="18" xr3:uid="{C41774D1-F27E-4A49-9DB0-B6FB07AE168E}" name="Status " dataDxfId="307"/>
    <tableColumn id="20" xr3:uid="{DD5F3ADB-6836-D14B-8C3E-41C812A76710}" name="Description" dataDxfId="306"/>
    <tableColumn id="24" xr3:uid="{1836EBFA-A4D0-6C44-8326-74D8CD848281}" name="Date of Financing Agreement Signed*" dataDxfId="305"/>
    <tableColumn id="25" xr3:uid="{CA329032-37D6-C84B-B9D9-D8A4B518BCE1}" name="End Date" dataDxfId="30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6A86A38-654A-2A41-A4AA-EA199B7239BF}" name="Table81012131415" displayName="Table81012131415" ref="A3:N8" totalsRowCount="1" tableBorderDxfId="79">
  <autoFilter ref="A3:N7" xr:uid="{56A86A38-654A-2A41-A4AA-EA199B7239BF}"/>
  <tableColumns count="14">
    <tableColumn id="1" xr3:uid="{C7497EC3-1889-EA44-8C6F-D74634AA9E44}" name="Unique ID" dataDxfId="78" totalsRowDxfId="77"/>
    <tableColumn id="2" xr3:uid="{0B5BC9B1-9CCE-F849-B2A3-D4D155615265}" name="Portfolios" dataDxfId="76" totalsRowDxfId="75"/>
    <tableColumn id="3" xr3:uid="{7FD74620-271E-B24C-B969-C8512078254B}" name="Priority Areas " dataDxfId="74" totalsRowDxfId="73"/>
    <tableColumn id="10" xr3:uid="{8A6B43E4-8181-D64F-8595-DED63CC27E6D}" name="Total US$ " totalsRowFunction="sum" dataDxfId="72" totalsRowDxfId="71"/>
    <tableColumn id="26" xr3:uid="{D48B72BD-D225-3C45-864A-5808A5E7BD8B}" name="CAD - Amount" totalsRowFunction="sum" dataDxfId="70" totalsRowDxfId="69"/>
    <tableColumn id="11" xr3:uid="{6356E7FF-B2E3-3340-BDC0-4F9B80999B15}" name="Total ZAR" totalsRowFunction="sum" dataDxfId="68" totalsRowDxfId="67"/>
    <tableColumn id="13" xr3:uid="{018217BB-5CD1-D340-B134-6863596D8720}" name="Source" dataDxfId="66" totalsRowDxfId="65"/>
    <tableColumn id="14" xr3:uid="{E6DA2B3E-FE6E-6140-9DB2-36CAF123B5B7}" name="Implementing Entity" dataDxfId="64" totalsRowDxfId="63"/>
    <tableColumn id="6" xr3:uid="{6EA38C45-81AA-CB4B-976F-6C980115A984}" name="Institutional / South African Partner" dataDxfId="62" totalsRowDxfId="61"/>
    <tableColumn id="4" xr3:uid="{68FB3714-E9B4-F048-BC83-6A822472D685}" name="Beneficiary" dataDxfId="60" totalsRowDxfId="59"/>
    <tableColumn id="18" xr3:uid="{F71C8EA5-B884-D046-BB43-F726D92BCED2}" name="Status " dataDxfId="58" totalsRowDxfId="57"/>
    <tableColumn id="20" xr3:uid="{83458E55-0C5D-CA49-AF79-5F5C35FA6A40}" name="Description" dataDxfId="56" totalsRowDxfId="55"/>
    <tableColumn id="24" xr3:uid="{F3B61A3D-EA53-A941-B2CC-9CCFD90614CC}" name="Date of Financing Agreement Signed*" dataDxfId="54" totalsRowDxfId="53"/>
    <tableColumn id="25" xr3:uid="{DEEC47D9-6988-EE48-8DDC-085A4611DF3F}" name="End Date" dataDxfId="52" totalsRowDxfId="5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29D2FDC-0B79-0449-9AD9-75C5B5BD5567}" name="Table10" displayName="Table10" ref="A3:N15" totalsRowCount="1" headerRowDxfId="50" dataDxfId="48" totalsRowDxfId="46" headerRowBorderDxfId="49" tableBorderDxfId="47" totalsRowBorderDxfId="45">
  <autoFilter ref="A3:N14" xr:uid="{429D2FDC-0B79-0449-9AD9-75C5B5BD5567}"/>
  <tableColumns count="14">
    <tableColumn id="1" xr3:uid="{066E922D-3E5A-D249-9CFC-4AC4E2C50AEC}" name="Unique ID" dataDxfId="44"/>
    <tableColumn id="2" xr3:uid="{CE6CC865-28D0-C546-B899-FB308950935C}" name="Portfolios" dataDxfId="43" totalsRowDxfId="42"/>
    <tableColumn id="3" xr3:uid="{193C6CD6-40EC-2349-BE1A-3B8D4D05BE04}" name="Priority Areas " dataDxfId="41" totalsRowDxfId="40"/>
    <tableColumn id="10" xr3:uid="{D900D00E-E103-1648-A659-53907BE8FA78}" name="Total US$ " totalsRowFunction="sum" dataDxfId="39" totalsRowDxfId="38">
      <calculatedColumnFormula>Table10[[#This Row],[CHF: Amount]]*$D$2</calculatedColumnFormula>
    </tableColumn>
    <tableColumn id="26" xr3:uid="{F044F7DC-AD88-F947-9101-767D9D52EBA2}" name="CHF: Amount" totalsRowFunction="sum" dataDxfId="37" totalsRowDxfId="36"/>
    <tableColumn id="11" xr3:uid="{914E8DA4-C622-854A-B081-BD2D52BFF51B}" name="Total ZAR" totalsRowFunction="sum" dataDxfId="35" totalsRowDxfId="34">
      <calculatedColumnFormula>Table10[[#This Row],[Total US$ ]]*$F$1</calculatedColumnFormula>
    </tableColumn>
    <tableColumn id="13" xr3:uid="{D2612634-F8C5-D841-902E-105FF7563893}" name="Source" dataDxfId="33" totalsRowDxfId="32"/>
    <tableColumn id="14" xr3:uid="{5EB82D5F-26E0-7642-A6A7-50CD17053580}" name="Implementing Entity" dataDxfId="31" totalsRowDxfId="30"/>
    <tableColumn id="4" xr3:uid="{2FECE05D-E60C-E740-AEF8-7FF2950CFF73}" name="Institutional / South African Partner" dataDxfId="29" totalsRowDxfId="28"/>
    <tableColumn id="5" xr3:uid="{DEEA38C2-F57F-0D42-AC09-6D8D2373D264}" name="Beneficiary" dataDxfId="27" totalsRowDxfId="26"/>
    <tableColumn id="18" xr3:uid="{3B1D23BF-986E-BD45-9154-DF493C4F0B4C}" name="Status " dataDxfId="25" totalsRowDxfId="24"/>
    <tableColumn id="20" xr3:uid="{F3B35ABA-A76B-7D4D-B2D8-E7974F0E09C3}" name="Description" dataDxfId="23" totalsRowDxfId="22"/>
    <tableColumn id="24" xr3:uid="{B846FCEA-2A1F-5A42-921F-052C69FD7DC5}" name="Date of Financing Agreement Signed*" dataDxfId="21" totalsRowDxfId="20"/>
    <tableColumn id="25" xr3:uid="{34972879-A1E9-5A43-8918-F47279C83A14}" name="End Date" dataDxfId="19" totalsRowDxfId="18"/>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326D9E-FC4E-5246-A565-9266E5B3E0C6}" name="Table2" displayName="Table2" ref="A1:A11" totalsRowShown="0" dataDxfId="16" headerRowBorderDxfId="17">
  <autoFilter ref="A1:A11" xr:uid="{FB326D9E-FC4E-5246-A565-9266E5B3E0C6}"/>
  <tableColumns count="1">
    <tableColumn id="1" xr3:uid="{BDE94C2F-49B6-CB46-AA7E-BC757408AB80}" name="Priority Areas" dataDxfId="15"/>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316A7-871A-C847-9ECE-A6616C2C9BA1}" name="Table3" displayName="Table3" ref="C1:C10" totalsRowShown="0" dataDxfId="14" tableBorderDxfId="13">
  <autoFilter ref="C1:C10" xr:uid="{B0D316A7-871A-C847-9ECE-A6616C2C9BA1}"/>
  <tableColumns count="1">
    <tableColumn id="1" xr3:uid="{92212C03-7787-8E42-AD6B-4A9B4AC1FF28}" name="Priority Areas" dataDxfId="1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FD3E07F-2B02-1C4A-AFA8-3841AA935B85}" name="Table4" displayName="Table4" ref="E1:E9" totalsRowShown="0" dataDxfId="11" tableBorderDxfId="10">
  <autoFilter ref="E1:E9" xr:uid="{BFD3E07F-2B02-1C4A-AFA8-3841AA935B85}"/>
  <tableColumns count="1">
    <tableColumn id="1" xr3:uid="{A2F3103E-BE66-EF48-A88D-1B24B24EF691}" name="Purpose" dataDxfId="9"/>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6B9A23-0C69-AC4B-999F-4EB5053D8140}" name="Table5" displayName="Table5" ref="G1:G5" totalsRowShown="0" dataDxfId="8" tableBorderDxfId="7">
  <autoFilter ref="G1:G5" xr:uid="{1A6B9A23-0C69-AC4B-999F-4EB5053D8140}"/>
  <tableColumns count="1">
    <tableColumn id="1" xr3:uid="{CF654910-F0EA-5C45-8172-387F25E74546}" name="Source Group" dataDxfId="6"/>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05F034-5337-4747-8A85-24DC8C8F4BFE}" name="Table6" displayName="Table6" ref="I1:I15" totalsRowShown="0" dataDxfId="5" tableBorderDxfId="4">
  <autoFilter ref="I1:I15" xr:uid="{C705F034-5337-4747-8A85-24DC8C8F4BFE}"/>
  <tableColumns count="1">
    <tableColumn id="1" xr3:uid="{225836E3-4338-484B-B9AC-87DD9D1A4A60}" name="Source" dataDxfId="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1CE3F83-E691-274D-9B7E-255435FE7A2D}" name="Table7" displayName="Table7" ref="K1:K5" totalsRowShown="0" dataDxfId="2" tableBorderDxfId="1">
  <autoFilter ref="K1:K5" xr:uid="{D1CE3F83-E691-274D-9B7E-255435FE7A2D}"/>
  <tableColumns count="1">
    <tableColumn id="1" xr3:uid="{B13351B2-2567-1748-B0A9-468431873BDD}" name="Status (Dynamic)"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A515534-FB8C-424C-B006-77FD6C645060}" name="Table8" displayName="Table8" ref="A3:N12" totalsRowCount="1" dataDxfId="303" tableBorderDxfId="302">
  <autoFilter ref="A3:N11" xr:uid="{0A515534-FB8C-424C-B006-77FD6C645060}"/>
  <tableColumns count="14">
    <tableColumn id="1" xr3:uid="{AE6A362A-6048-4D4B-820D-081A1F4C28CD}" name="Unique ID" dataDxfId="301"/>
    <tableColumn id="2" xr3:uid="{2D7F6B6F-41FF-6C49-B12D-EF298A880D5B}" name="Portfolios" dataDxfId="300"/>
    <tableColumn id="3" xr3:uid="{903749BB-BE28-DA45-AF7C-1EC6D1DC87C3}" name="Priority Areas " dataDxfId="299"/>
    <tableColumn id="10" xr3:uid="{201678DD-A0BB-C54A-BEFA-5BBB35CEEB9A}" name="Total US$ " totalsRowFunction="sum" dataDxfId="298" totalsRowDxfId="297"/>
    <tableColumn id="27" xr3:uid="{E600CB02-211D-A843-9AF0-5714781EC41B}" name="Euro - Amount" totalsRowFunction="sum" dataDxfId="296" totalsRowDxfId="295"/>
    <tableColumn id="11" xr3:uid="{5951BDC2-E003-6F4E-82AF-4CB327710318}" name="Total ZAR" totalsRowFunction="sum" dataDxfId="294" totalsRowDxfId="293">
      <calculatedColumnFormula>Table8[[#This Row],[Total US$ ]]*$F$1</calculatedColumnFormula>
    </tableColumn>
    <tableColumn id="13" xr3:uid="{7FB5423F-74F6-DB41-A51E-C47157A0FC3C}" name="Source" dataDxfId="292" totalsRowDxfId="291"/>
    <tableColumn id="14" xr3:uid="{087430C0-02B6-5641-AB2D-C6501913BC8C}" name="Implementing Entity" dataDxfId="290"/>
    <tableColumn id="4" xr3:uid="{51E4733F-FAB2-1640-98C8-03765F39C035}" name="Institutional / South African Partner" dataDxfId="289"/>
    <tableColumn id="5" xr3:uid="{7E168353-7DB1-3C44-AE64-CCB0D0245BEE}" name="Beneficiary" dataDxfId="288"/>
    <tableColumn id="18" xr3:uid="{C3A9E5AF-DCCC-CC42-84E9-7A3D3F224161}" name="Status " dataDxfId="287"/>
    <tableColumn id="20" xr3:uid="{C630F2FF-0159-0445-B211-C7D2A16C8C30}" name="Description" dataDxfId="286"/>
    <tableColumn id="24" xr3:uid="{21C75851-FB70-9B4F-B88F-CC7B04798BC6}" name="Date of Financing Agreement Signed*" dataDxfId="285"/>
    <tableColumn id="25" xr3:uid="{F1019E72-6E75-C246-8DD7-A2C278EA7D92}" name="End Date" dataDxfId="28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F7FDE84-274F-F845-B2DD-B0C7ACFD010F}" name="Table810" displayName="Table810" ref="A3:N49" totalsRowCount="1" dataDxfId="283" tableBorderDxfId="282">
  <autoFilter ref="A3:N48" xr:uid="{7F7FDE84-274F-F845-B2DD-B0C7ACFD010F}"/>
  <tableColumns count="14">
    <tableColumn id="1" xr3:uid="{18827C0B-E1B3-6349-8DAD-9EA9DF6EFE5B}" name="Unique ID" dataDxfId="281" totalsRowDxfId="280"/>
    <tableColumn id="2" xr3:uid="{954970D4-EF7D-3746-B277-48B5DAA64107}" name="Portfolios" dataDxfId="279" totalsRowDxfId="278"/>
    <tableColumn id="3" xr3:uid="{728C5D1A-2BE3-A94E-BF44-2DBC7974F668}" name="Priority Areas " dataDxfId="277" totalsRowDxfId="276"/>
    <tableColumn id="10" xr3:uid="{17617524-9803-7943-95FC-A54AD323EA6A}" name="Total US$ " totalsRowFunction="sum" dataDxfId="275" totalsRowDxfId="274"/>
    <tableColumn id="27" xr3:uid="{2411AFCE-DFF6-0544-8BD6-DC7019364162}" name="GBP - Amount" totalsRowFunction="sum" dataDxfId="273" totalsRowDxfId="272"/>
    <tableColumn id="11" xr3:uid="{598A0610-47BD-F74F-8667-B4EB6037BBE6}" name="Total ZAR" totalsRowFunction="sum" dataDxfId="271" totalsRowDxfId="270">
      <calculatedColumnFormula>Table810[[#This Row],[Total US$ ]]*$F$1</calculatedColumnFormula>
    </tableColumn>
    <tableColumn id="13" xr3:uid="{851568CC-FDBA-5B4C-A12B-BC77199B97B1}" name="Source" dataDxfId="269" totalsRowDxfId="268"/>
    <tableColumn id="14" xr3:uid="{657106ED-04A7-1E4B-B6C5-B482F90E87F4}" name="Implementing Entity" dataDxfId="267" totalsRowDxfId="266"/>
    <tableColumn id="4" xr3:uid="{8D8B4B3A-DFA0-0842-8732-2051703CC77C}" name="Institutional / South African Partner" dataDxfId="265" totalsRowDxfId="264"/>
    <tableColumn id="5" xr3:uid="{600A5CCE-4F3C-4E44-956C-1AA790E024B4}" name="Beneficiary" dataDxfId="263" totalsRowDxfId="262"/>
    <tableColumn id="18" xr3:uid="{5EBFF9AE-8C9F-DE48-B088-CE2B70115D71}" name="Status " dataDxfId="261" totalsRowDxfId="260"/>
    <tableColumn id="20" xr3:uid="{69CDE275-53D6-2B4C-8448-8F63E5477F52}" name="Description" dataDxfId="259" totalsRowDxfId="258"/>
    <tableColumn id="24" xr3:uid="{6297CD11-606A-274F-8B81-560C7A7F49FE}" name="Date of Financing Agreement Signed*" dataDxfId="257" totalsRowDxfId="256"/>
    <tableColumn id="25" xr3:uid="{47E52154-2AFF-C14C-B560-F2BB732CC875}" name="End Date" dataDxfId="255" totalsRowDxfId="25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7B346E7-6205-2945-9D3B-110D3AB94249}" name="Table81012" displayName="Table81012" ref="A3:N26" totalsRowCount="1" dataDxfId="253" tableBorderDxfId="252">
  <autoFilter ref="A3:N25" xr:uid="{77B346E7-6205-2945-9D3B-110D3AB94249}"/>
  <tableColumns count="14">
    <tableColumn id="1" xr3:uid="{71E876EB-1014-514F-BF48-A0827D16D8CE}" name="Unique ID" dataDxfId="251" totalsRowDxfId="250"/>
    <tableColumn id="2" xr3:uid="{653BEB69-AB94-9B42-9F4B-AF2320A8288F}" name="Portfolios" dataDxfId="249" totalsRowDxfId="248"/>
    <tableColumn id="3" xr3:uid="{79214BB4-027B-E147-ADC0-798DA50BD444}" name="Priority Areas " dataDxfId="247" totalsRowDxfId="246"/>
    <tableColumn id="10" xr3:uid="{C2E98F09-EF6C-674B-B0A3-D28A325C87B2}" name="Total US$ " totalsRowFunction="sum" dataDxfId="245" totalsRowDxfId="244">
      <calculatedColumnFormula>Table81012[[#This Row],[Euro - Amounts]]*$D$2</calculatedColumnFormula>
    </tableColumn>
    <tableColumn id="26" xr3:uid="{B7F76BB1-CE6F-7D47-9ABF-D2DC8F7243AD}" name="Euro - Amounts" totalsRowFunction="sum" dataDxfId="243" totalsRowDxfId="242"/>
    <tableColumn id="11" xr3:uid="{09BAB795-00A4-B14A-9D8A-0F24C0EACDD1}" name="Total ZAR" totalsRowFunction="sum" dataDxfId="241" totalsRowDxfId="240">
      <calculatedColumnFormula>Table81012[[#This Row],[Total US$ ]]*$F$1</calculatedColumnFormula>
    </tableColumn>
    <tableColumn id="13" xr3:uid="{742FFC07-AD1F-294B-81B2-AD1D076300AA}" name="Source" dataDxfId="239" totalsRowDxfId="238"/>
    <tableColumn id="14" xr3:uid="{07D0CB70-1F02-1D4D-99E0-7B3F4FEC07E9}" name="Implementing Entity" dataDxfId="237" totalsRowDxfId="236"/>
    <tableColumn id="4" xr3:uid="{049E55A5-A742-7142-917A-2C3431D4CCA9}" name="Institutional / South African Partner" dataDxfId="235" totalsRowDxfId="234"/>
    <tableColumn id="5" xr3:uid="{677EE70C-2CD2-DD4B-A476-8F1C72D2BBEF}" name="Beneficiary" dataDxfId="233" totalsRowDxfId="232"/>
    <tableColumn id="18" xr3:uid="{594BAF3C-91E3-5940-A865-EB48FB16B41E}" name="Status " dataDxfId="231" totalsRowDxfId="230"/>
    <tableColumn id="20" xr3:uid="{09D92E72-9DA8-AC41-8AC5-3E5DAF687873}" name="Description" dataDxfId="229" totalsRowDxfId="228"/>
    <tableColumn id="24" xr3:uid="{7C2C8177-F6DC-3346-A3EB-DF481ECA6DDD}" name="Date of Financing Agreement Signed*" dataDxfId="227" totalsRowDxfId="226"/>
    <tableColumn id="25" xr3:uid="{91B60870-31A8-3C4C-92C7-9C574FCBCD52}" name="End Date" dataDxfId="225" totalsRowDxfId="2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0B12EEE-0874-CA46-9D98-67544E7204F5}" name="Table8101213" displayName="Table8101213" ref="A3:N24" totalsRowCount="1" dataDxfId="223" tableBorderDxfId="222">
  <autoFilter ref="A3:N23" xr:uid="{A0B12EEE-0874-CA46-9D98-67544E7204F5}"/>
  <tableColumns count="14">
    <tableColumn id="1" xr3:uid="{5BFE7C59-E327-B141-AF54-C4AAB4BB6AE7}" name="Unique ID" dataDxfId="221" totalsRowDxfId="220"/>
    <tableColumn id="2" xr3:uid="{4F4FE3AB-DF02-294A-BD21-81680AC6D678}" name="Portfolios" dataDxfId="219" totalsRowDxfId="218"/>
    <tableColumn id="3" xr3:uid="{950D38F0-4BC7-0E44-9FF0-92DEB0936984}" name="Priority Areas " dataDxfId="217" totalsRowDxfId="216"/>
    <tableColumn id="10" xr3:uid="{D5FF70D7-845F-034D-9021-4F53709589DE}" name="Total US$ " totalsRowFunction="sum" dataDxfId="215" totalsRowDxfId="214"/>
    <tableColumn id="26" xr3:uid="{4FA695E4-7269-A343-A2FA-FA9F2524D984}" name="Euro - Amount" totalsRowFunction="sum" dataDxfId="213" totalsRowDxfId="212"/>
    <tableColumn id="11" xr3:uid="{C8F5C578-FED2-EF49-B5AA-CC8A2152612C}" name="Total ZAR" totalsRowFunction="sum" dataDxfId="211" totalsRowDxfId="210">
      <calculatedColumnFormula>Table8101213[[#This Row],[Total US$ ]]*$F$1</calculatedColumnFormula>
    </tableColumn>
    <tableColumn id="13" xr3:uid="{23FEB116-CB29-B846-A7BD-613EEF2DEEBF}" name="Source" dataDxfId="209" totalsRowDxfId="208"/>
    <tableColumn id="14" xr3:uid="{B0509B70-BA8A-1746-9953-C6A2C13B05F2}" name="Implementing Entity" dataDxfId="207" totalsRowDxfId="206"/>
    <tableColumn id="4" xr3:uid="{3235794D-5358-FA4F-BDE8-64DE3FF9766D}" name="Institutional / South African Partner" dataDxfId="205" totalsRowDxfId="204"/>
    <tableColumn id="5" xr3:uid="{05685759-2B17-4A46-9E88-C57254B21F4B}" name="Beneficiary" dataDxfId="203" totalsRowDxfId="202"/>
    <tableColumn id="18" xr3:uid="{F2EABC9F-383D-214A-83C3-420723EE21BE}" name="Status " dataDxfId="201" totalsRowDxfId="200"/>
    <tableColumn id="20" xr3:uid="{745DCCCD-5764-DA4E-BC81-39F42C3B4EF5}" name="Description" dataDxfId="199" totalsRowDxfId="198"/>
    <tableColumn id="24" xr3:uid="{6836D6DC-639A-0D4C-9418-1AE2636C4C34}" name="Date of Financing Agreement Signed*" dataDxfId="197" totalsRowDxfId="196"/>
    <tableColumn id="25" xr3:uid="{36E6F068-7ACA-C644-A399-B722C5B0A29E}" name="End Date" dataDxfId="195" totalsRowDxfId="19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CBDC560-CB5E-084F-8035-76906281807E}" name="Table81012131415161718" displayName="Table81012131415161718" ref="A3:M39" totalsRowCount="1" headerRowDxfId="193" dataDxfId="192" totalsRowDxfId="190" tableBorderDxfId="191">
  <autoFilter ref="A3:M38" xr:uid="{2CBDC560-CB5E-084F-8035-76906281807E}"/>
  <tableColumns count="13">
    <tableColumn id="1" xr3:uid="{77E61FCA-0405-744A-B14B-7C40CA69AA57}" name="Unique ID" dataDxfId="189"/>
    <tableColumn id="2" xr3:uid="{EE9C7F3C-66D7-7C4C-AB50-9576EE312033}" name="Portfolios" dataDxfId="188" totalsRowDxfId="187"/>
    <tableColumn id="3" xr3:uid="{B13594D9-30D1-4145-80A3-6FA7EEE7DA74}" name="Priority Areas " dataDxfId="186" totalsRowDxfId="185"/>
    <tableColumn id="10" xr3:uid="{FB4326EF-B35C-6549-8A23-845E1F64B883}" name="Total US$ " totalsRowFunction="sum" dataDxfId="184" totalsRowDxfId="183"/>
    <tableColumn id="11" xr3:uid="{EFD2BC83-F672-EE45-927F-A8AFF3813185}" name="Total ZAR" totalsRowFunction="sum" dataDxfId="182" totalsRowDxfId="181"/>
    <tableColumn id="13" xr3:uid="{5E0FC58A-71DA-A747-8510-FA53633B23A9}" name="Source" dataDxfId="180" totalsRowDxfId="179"/>
    <tableColumn id="14" xr3:uid="{53A8CF9C-A64D-4348-9A3F-7AB553A4FFE2}" name="Implementing Entity" dataDxfId="178" totalsRowDxfId="177"/>
    <tableColumn id="5" xr3:uid="{42DFDDAF-3E2A-A14C-A5F6-BB482C97968A}" name="Institutional / South African Partner" dataDxfId="176" totalsRowDxfId="175"/>
    <tableColumn id="4" xr3:uid="{3DC50CDA-C019-3E42-9FFB-DF7440FE5EDB}" name="Beneficiary" dataDxfId="174" totalsRowDxfId="173"/>
    <tableColumn id="18" xr3:uid="{409F9DC9-A203-2A4A-BB4A-20D419307BCE}" name="Status " dataDxfId="172" totalsRowDxfId="171"/>
    <tableColumn id="20" xr3:uid="{6D1DDB3A-78B9-A94A-9050-1473179F446B}" name="Description" dataDxfId="170" totalsRowDxfId="169"/>
    <tableColumn id="24" xr3:uid="{6DE5C900-151C-7442-B633-09B9CFAD98B8}" name="Date of Financing Agreement Signed*" dataDxfId="168" totalsRowDxfId="167"/>
    <tableColumn id="25" xr3:uid="{8E83ACAA-2B35-3A4B-8628-FAFD44D32244}" name="End Date" dataDxfId="166" totalsRowDxfId="16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1567197-F43D-DD4E-B53A-72C284C19E46}" name="Table8101213141516" displayName="Table8101213141516" ref="A3:L6" totalsRowCount="1" tableBorderDxfId="164">
  <autoFilter ref="A3:L5" xr:uid="{01567197-F43D-DD4E-B53A-72C284C19E46}"/>
  <tableColumns count="12">
    <tableColumn id="1" xr3:uid="{168675C8-EEF4-BF49-A14C-EE92C445A232}" name="Unique ID" dataDxfId="163" totalsRowDxfId="162"/>
    <tableColumn id="2" xr3:uid="{F55B77ED-552E-F64E-A79A-7F4A345C36FD}" name="Portfolios" dataDxfId="161" totalsRowDxfId="160"/>
    <tableColumn id="3" xr3:uid="{26E9EB6D-3E41-0647-8032-83AFD86EA76C}" name="Priority Areas " dataDxfId="159" totalsRowDxfId="158"/>
    <tableColumn id="10" xr3:uid="{7A40C4D5-10F6-224D-8AD5-50564D762D1D}" name="Total US$ " totalsRowFunction="sum" dataDxfId="157" totalsRowDxfId="156"/>
    <tableColumn id="11" xr3:uid="{7BD52CD3-EDA7-2D48-8029-4755CD84C364}" name="Total ZAR" totalsRowFunction="sum" dataDxfId="155" totalsRowDxfId="154"/>
    <tableColumn id="13" xr3:uid="{AC1FF90E-48B5-2443-83CF-FEB72E00CBAF}" name="Source" dataDxfId="153" totalsRowDxfId="152"/>
    <tableColumn id="14" xr3:uid="{FE9837B6-332B-B94D-8899-1896BE37A364}" name="Implementing Entity" dataDxfId="151" totalsRowDxfId="150"/>
    <tableColumn id="4" xr3:uid="{6F6DF675-9C98-FF44-B896-CCB9264B7306}" name="Beneficiaries" dataDxfId="149" totalsRowDxfId="148"/>
    <tableColumn id="18" xr3:uid="{CE72EF02-3B6C-A741-84F6-A76D51CD3B35}" name="Status " dataDxfId="147" totalsRowDxfId="146"/>
    <tableColumn id="20" xr3:uid="{65FB89A1-CD72-6740-AFBE-C8AEA94F277D}" name="Description" dataDxfId="145" totalsRowDxfId="144"/>
    <tableColumn id="24" xr3:uid="{93EB7493-DE86-A945-AE8A-4B82574319A5}" name="Date of Financing Agreement Signed*" dataDxfId="143" totalsRowDxfId="142"/>
    <tableColumn id="25" xr3:uid="{F03BB16E-9A2A-384C-8D25-A842DF085244}" name="End Date" dataDxfId="141" totalsRowDxfId="14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F3AF8F-11D8-C44C-9222-CDB0BB3AAC91}" name="Table810121314" displayName="Table810121314" ref="A3:N17" totalsRowCount="1" dataDxfId="139" tableBorderDxfId="138">
  <autoFilter ref="A3:N16" xr:uid="{A2F3AF8F-11D8-C44C-9222-CDB0BB3AAC91}"/>
  <tableColumns count="14">
    <tableColumn id="1" xr3:uid="{C57D384B-118A-E84D-A1C4-49D025A9CAEB}" name="Unique ID" dataDxfId="137" totalsRowDxfId="136"/>
    <tableColumn id="2" xr3:uid="{A0F56300-487A-F94B-A742-32D01F6DF882}" name="Portfolios" dataDxfId="135" totalsRowDxfId="134"/>
    <tableColumn id="3" xr3:uid="{0E5C4A3B-19BF-8549-A97F-9600BFF17B8C}" name="Priority Areas " dataDxfId="133" totalsRowDxfId="132"/>
    <tableColumn id="10" xr3:uid="{1B1B2E05-B212-A140-8A58-C1CF58842B07}" name="Total US$ " totalsRowFunction="sum" dataDxfId="131" totalsRowDxfId="130">
      <calculatedColumnFormula>Table810121314[[#This Row],[DKK - Amount]]*$D$2</calculatedColumnFormula>
    </tableColumn>
    <tableColumn id="26" xr3:uid="{687AA285-8D7B-A94B-A380-4B616860B14E}" name="DKK - Amount" totalsRowFunction="sum" dataDxfId="129" totalsRowDxfId="128"/>
    <tableColumn id="11" xr3:uid="{8A5260E7-BC9E-DD48-8B8F-365D11800D72}" name="Total ZAR" totalsRowFunction="sum" dataDxfId="127" totalsRowDxfId="126"/>
    <tableColumn id="13" xr3:uid="{2C761762-31DD-424F-ABF0-279907C40606}" name="Source" dataDxfId="125" totalsRowDxfId="124"/>
    <tableColumn id="14" xr3:uid="{14D0B82F-74A6-6A44-8FFC-B3069C9AA429}" name="Implementing Entity" dataDxfId="123" totalsRowDxfId="122"/>
    <tableColumn id="4" xr3:uid="{6CF8CFCC-2D97-854D-BEC2-CCF5E9781DF2}" name="Institutional / South African Partner" dataDxfId="121" totalsRowDxfId="120"/>
    <tableColumn id="5" xr3:uid="{7EF627FB-CCA4-A34A-BE06-E8A353311D0B}" name="Beneficiary" dataDxfId="119" totalsRowDxfId="118"/>
    <tableColumn id="18" xr3:uid="{400668F8-3EC7-0F40-906D-497027CC5467}" name="Status " dataDxfId="117" totalsRowDxfId="116"/>
    <tableColumn id="20" xr3:uid="{7576B883-EA81-564C-8F0C-C2BA032DC999}" name="Description" dataDxfId="115" totalsRowDxfId="114"/>
    <tableColumn id="24" xr3:uid="{530CC416-70EA-9841-9542-D6F975D0DC06}" name="Date of Financing Agreement Signed*" dataDxfId="113" totalsRowDxfId="112"/>
    <tableColumn id="25" xr3:uid="{42B7A7AF-E5CA-D247-90EB-1F2EE6C69887}" name="End Date" dataDxfId="111" totalsRowDxfId="1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A84D7AA-886E-F240-AE77-87F65F4785C6}" name="Table810121314151617" displayName="Table810121314151617" ref="A3:N10" totalsRowCount="1" dataDxfId="109" tableBorderDxfId="108">
  <autoFilter ref="A3:N9" xr:uid="{1A84D7AA-886E-F240-AE77-87F65F4785C6}"/>
  <tableColumns count="14">
    <tableColumn id="1" xr3:uid="{0E5D7692-2266-FA4A-8503-F9B0DBBADFC4}" name="Unique ID" dataDxfId="107" totalsRowDxfId="106"/>
    <tableColumn id="2" xr3:uid="{1A065F02-3CDA-824E-ADA0-CB340C7EB1AC}" name="Portfolios" dataDxfId="105" totalsRowDxfId="104"/>
    <tableColumn id="3" xr3:uid="{9F89F574-8A88-8B4A-A4C9-082824724F93}" name="Priority Areas " dataDxfId="103" totalsRowDxfId="102"/>
    <tableColumn id="10" xr3:uid="{AFC81B52-9CD3-1F44-A921-506932C72EE5}" name="Total US$ " totalsRowFunction="sum" dataDxfId="101" totalsRowDxfId="100"/>
    <tableColumn id="26" xr3:uid="{14BAA71F-D008-7D4E-8A0B-F18DF0D89BED}" name="Euro: Amount" totalsRowFunction="sum" dataDxfId="99" totalsRowDxfId="98"/>
    <tableColumn id="11" xr3:uid="{B7553EAD-4F53-A849-ACAD-F16DC1804470}" name="Total ZAR" totalsRowFunction="sum" dataDxfId="97" totalsRowDxfId="96"/>
    <tableColumn id="13" xr3:uid="{D3A62A74-D724-EC4A-B761-3948323A3092}" name="Source" dataDxfId="95" totalsRowDxfId="94"/>
    <tableColumn id="14" xr3:uid="{3D98122B-A9BE-3F43-A51D-F417C2D5BC7C}" name="Implementing Entity" dataDxfId="93" totalsRowDxfId="92"/>
    <tableColumn id="4" xr3:uid="{C78F9F82-3FEB-4E42-A372-7C8E6A9178CE}" name="Institutional / South African Partner" dataDxfId="91" totalsRowDxfId="90"/>
    <tableColumn id="5" xr3:uid="{00221B49-75BA-E545-AD28-D80504A2441E}" name="Beneficiary" dataDxfId="89" totalsRowDxfId="88"/>
    <tableColumn id="18" xr3:uid="{5A7D2FA5-E14C-8645-9717-E4F032871FC7}" name="Status " dataDxfId="87" totalsRowDxfId="86"/>
    <tableColumn id="20" xr3:uid="{581A7C12-16ED-9544-94AD-355FC3757764}" name="Description" dataDxfId="85" totalsRowDxfId="84"/>
    <tableColumn id="24" xr3:uid="{D73CF5C3-052C-F648-AA24-E46BFE1B982C}" name="Date of Financing Agreement Signed*" dataDxfId="83" totalsRowDxfId="82"/>
    <tableColumn id="25" xr3:uid="{D9E91EED-1A3E-5B47-ABF5-1B91E2B5E20F}" name="End Date" dataDxfId="81" totalsRowDxfId="8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 dT="2023-08-29T09:43:49.68" personId="{00000000-0000-0000-0000-000000000000}" id="{EF776F8F-B24A-F34B-A4BD-123CD1E27B68}">
    <text>UK; US; France; Germany; EU; ACT-IP</text>
  </threadedComment>
  <threadedComment ref="K2" dT="2024-05-20T09:39:48.84" personId="{68F0ED2A-84D8-6D44-BC55-43DC15A5AC90}" id="{1B9241C1-00DF-C348-BEC1-1E394A2806E6}">
    <text>Note with ‘Planned’ we don’t display the projects publicly but we do give the total</text>
  </threadedComment>
  <threadedComment ref="G3" dT="2023-08-29T09:44:24.75" personId="{00000000-0000-0000-0000-000000000000}" id="{54CBC95A-3347-C443-B3BB-4BF31750A8AE}">
    <text>Denmark and Netherlands</text>
  </threadedComment>
  <threadedComment ref="G4" dT="2023-08-29T09:44:37.65" personId="{00000000-0000-0000-0000-000000000000}" id="{D97DD1C8-FE74-0340-933A-D061E2068CC8}">
    <text>Canada and Spain</text>
  </threadedComment>
  <threadedComment ref="G5" dT="2023-08-29T09:45:21.05" personId="{00000000-0000-0000-0000-000000000000}" id="{02F9A3B5-991A-0D48-B0B5-6627600D856F}">
    <text>World Bank; AfDB; NDB</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F7C6A9E-C1B6-F744-AD83-AE3FBEC7750E}">
  <we:reference id="wa200005502" version="1.0.0.11" store="en-GB" storeType="OMEX"/>
  <we:alternateReferences>
    <we:reference id="wa200005502" version="1.0.0.11" store="wa200005502" storeType="OMEX"/>
  </we:alternateReferences>
  <we:properties>
    <we:property name="docId" value="&quot;-NgnhevddewyO02ti81aE&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table" Target="../tables/table13.xml"/><Relationship Id="rId7" Type="http://schemas.openxmlformats.org/officeDocument/2006/relationships/table" Target="../tables/table17.xml"/><Relationship Id="rId2" Type="http://schemas.openxmlformats.org/officeDocument/2006/relationships/table" Target="../tables/table12.xml"/><Relationship Id="rId1" Type="http://schemas.openxmlformats.org/officeDocument/2006/relationships/vmlDrawing" Target="../drawings/vmlDrawing2.vml"/><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 Id="rId9"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3" Type="http://schemas.openxmlformats.org/officeDocument/2006/relationships/hyperlink" Target="applewebdata://A664DDC7-EF25-402A-BD86-85151FA7B00F/" TargetMode="External"/><Relationship Id="rId2" Type="http://schemas.openxmlformats.org/officeDocument/2006/relationships/hyperlink" Target="applewebdata://A664DDC7-EF25-402A-BD86-85151FA7B00F/" TargetMode="External"/><Relationship Id="rId1" Type="http://schemas.openxmlformats.org/officeDocument/2006/relationships/hyperlink" Target="applewebdata://A664DDC7-EF25-402A-BD86-85151FA7B00F/" TargetMode="External"/><Relationship Id="rId4" Type="http://schemas.openxmlformats.org/officeDocument/2006/relationships/hyperlink" Target="applewebdata://A664DDC7-EF25-402A-BD86-85151FA7B00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AD16-8397-0341-8D98-08A070CB4CEC}">
  <dimension ref="B3:BA51"/>
  <sheetViews>
    <sheetView showGridLines="0" tabSelected="1" workbookViewId="0">
      <selection activeCell="E23" sqref="E23"/>
    </sheetView>
  </sheetViews>
  <sheetFormatPr baseColWidth="10" defaultRowHeight="15" x14ac:dyDescent="0.2"/>
  <cols>
    <col min="2" max="2" width="10.5" bestFit="1" customWidth="1"/>
    <col min="3" max="3" width="14.6640625" bestFit="1" customWidth="1"/>
    <col min="11" max="11" width="11.33203125" bestFit="1" customWidth="1"/>
    <col min="12" max="12" width="14.6640625" bestFit="1" customWidth="1"/>
    <col min="24" max="24" width="13.1640625" bestFit="1" customWidth="1"/>
    <col min="25" max="25" width="14.6640625" bestFit="1" customWidth="1"/>
    <col min="32" max="32" width="20.1640625" bestFit="1" customWidth="1"/>
    <col min="33" max="33" width="14.6640625" bestFit="1" customWidth="1"/>
    <col min="40" max="40" width="91.5" customWidth="1"/>
    <col min="41" max="41" width="14.6640625" bestFit="1" customWidth="1"/>
    <col min="52" max="52" width="13.1640625" bestFit="1" customWidth="1"/>
    <col min="53" max="53" width="14.6640625" bestFit="1" customWidth="1"/>
  </cols>
  <sheetData>
    <row r="3" spans="2:53" x14ac:dyDescent="0.2">
      <c r="B3" s="147" t="s">
        <v>95</v>
      </c>
      <c r="C3" t="s">
        <v>87</v>
      </c>
      <c r="K3" s="147" t="s">
        <v>467</v>
      </c>
      <c r="L3" t="s">
        <v>468</v>
      </c>
      <c r="X3" s="147" t="s">
        <v>95</v>
      </c>
      <c r="Y3" t="s">
        <v>85</v>
      </c>
      <c r="AF3" s="147" t="s">
        <v>467</v>
      </c>
      <c r="AG3" t="s">
        <v>468</v>
      </c>
      <c r="AN3" s="147" t="s">
        <v>467</v>
      </c>
      <c r="AO3" t="s">
        <v>468</v>
      </c>
      <c r="AZ3" s="147" t="s">
        <v>470</v>
      </c>
      <c r="BA3" t="s">
        <v>251</v>
      </c>
    </row>
    <row r="5" spans="2:53" x14ac:dyDescent="0.2">
      <c r="B5" s="147" t="s">
        <v>497</v>
      </c>
      <c r="C5" t="s">
        <v>769</v>
      </c>
      <c r="K5" s="147" t="s">
        <v>104</v>
      </c>
      <c r="L5" t="s">
        <v>769</v>
      </c>
      <c r="X5" s="147" t="s">
        <v>467</v>
      </c>
      <c r="Y5" t="s">
        <v>769</v>
      </c>
      <c r="AF5" s="147" t="s">
        <v>470</v>
      </c>
      <c r="AG5" t="s">
        <v>769</v>
      </c>
      <c r="AN5" s="147" t="s">
        <v>350</v>
      </c>
      <c r="AO5" t="s">
        <v>769</v>
      </c>
      <c r="AZ5" s="147" t="s">
        <v>467</v>
      </c>
      <c r="BA5" t="s">
        <v>769</v>
      </c>
    </row>
    <row r="6" spans="2:53" x14ac:dyDescent="0.2">
      <c r="B6" s="161">
        <v>45961</v>
      </c>
      <c r="C6" s="148">
        <v>3285683.7478530616</v>
      </c>
      <c r="K6" t="s">
        <v>110</v>
      </c>
      <c r="L6" s="148">
        <v>665658000</v>
      </c>
      <c r="X6" t="s">
        <v>468</v>
      </c>
      <c r="Y6" s="148">
        <v>1511994600</v>
      </c>
      <c r="AF6" t="s">
        <v>494</v>
      </c>
      <c r="AG6" s="148">
        <v>2262063480.7327495</v>
      </c>
      <c r="AN6" t="s">
        <v>59</v>
      </c>
      <c r="AO6" s="148">
        <v>665658000</v>
      </c>
      <c r="AZ6" t="s">
        <v>73</v>
      </c>
      <c r="BA6" s="148">
        <v>1662207900</v>
      </c>
    </row>
    <row r="7" spans="2:53" x14ac:dyDescent="0.2">
      <c r="B7" s="161">
        <v>46022</v>
      </c>
      <c r="C7" s="148">
        <v>82838399.392800003</v>
      </c>
      <c r="K7" t="s">
        <v>404</v>
      </c>
      <c r="L7" s="148">
        <v>380376000</v>
      </c>
      <c r="X7" t="s">
        <v>70</v>
      </c>
      <c r="Y7" s="148">
        <v>1435919400</v>
      </c>
      <c r="AF7" t="s">
        <v>251</v>
      </c>
      <c r="AG7" s="148">
        <v>682784887.25999999</v>
      </c>
      <c r="AN7" t="s">
        <v>405</v>
      </c>
      <c r="AO7" s="148">
        <v>380376000</v>
      </c>
      <c r="AZ7" t="s">
        <v>70</v>
      </c>
      <c r="BA7" s="148">
        <v>1388372400</v>
      </c>
    </row>
    <row r="8" spans="2:53" x14ac:dyDescent="0.2">
      <c r="B8" s="161">
        <v>47848</v>
      </c>
      <c r="C8" s="148">
        <v>983831112.72000003</v>
      </c>
      <c r="K8" t="s">
        <v>155</v>
      </c>
      <c r="L8" s="148">
        <v>380376000</v>
      </c>
      <c r="X8" t="s">
        <v>73</v>
      </c>
      <c r="Y8" s="148">
        <v>867447468</v>
      </c>
      <c r="AF8" t="s">
        <v>495</v>
      </c>
      <c r="AG8" s="148">
        <v>71964391.159500003</v>
      </c>
      <c r="AN8" t="s">
        <v>351</v>
      </c>
      <c r="AO8" s="148">
        <v>380376000</v>
      </c>
      <c r="AZ8" t="s">
        <v>468</v>
      </c>
      <c r="BA8" s="148">
        <v>682784887.25999999</v>
      </c>
    </row>
    <row r="9" spans="2:53" x14ac:dyDescent="0.2">
      <c r="B9" t="s">
        <v>768</v>
      </c>
      <c r="C9" s="148">
        <v>1069955195.860653</v>
      </c>
      <c r="K9" t="s">
        <v>151</v>
      </c>
      <c r="L9" s="148">
        <v>294791400</v>
      </c>
      <c r="X9" t="s">
        <v>72</v>
      </c>
      <c r="Y9" s="148">
        <v>751242600</v>
      </c>
      <c r="AF9" t="s">
        <v>768</v>
      </c>
      <c r="AG9" s="148">
        <v>3016812759.1522493</v>
      </c>
      <c r="AN9" t="s">
        <v>549</v>
      </c>
      <c r="AO9" s="148">
        <v>294791400</v>
      </c>
      <c r="AZ9" t="s">
        <v>72</v>
      </c>
      <c r="BA9" s="148">
        <v>399394800</v>
      </c>
    </row>
    <row r="10" spans="2:53" x14ac:dyDescent="0.2">
      <c r="K10" t="s">
        <v>150</v>
      </c>
      <c r="L10" s="148">
        <v>180678600</v>
      </c>
      <c r="X10" t="s">
        <v>56</v>
      </c>
      <c r="Y10" s="148">
        <v>456451200</v>
      </c>
      <c r="AN10" t="s">
        <v>771</v>
      </c>
      <c r="AO10" s="148">
        <v>206328163.74000001</v>
      </c>
      <c r="AZ10" t="s">
        <v>56</v>
      </c>
      <c r="BA10" s="148">
        <v>137025171</v>
      </c>
    </row>
    <row r="11" spans="2:53" x14ac:dyDescent="0.2">
      <c r="K11" t="s">
        <v>209</v>
      </c>
      <c r="L11" s="148">
        <v>152065273.25999999</v>
      </c>
      <c r="X11" t="s">
        <v>768</v>
      </c>
      <c r="Y11" s="148">
        <v>5023055268</v>
      </c>
      <c r="AN11" t="s">
        <v>548</v>
      </c>
      <c r="AO11" s="148">
        <v>180678600</v>
      </c>
      <c r="AZ11" t="s">
        <v>768</v>
      </c>
      <c r="BA11" s="148">
        <v>4269785158.2600002</v>
      </c>
    </row>
    <row r="12" spans="2:53" x14ac:dyDescent="0.2">
      <c r="K12" t="s">
        <v>400</v>
      </c>
      <c r="L12" s="148">
        <v>133131600.00000001</v>
      </c>
      <c r="AN12" t="s">
        <v>2</v>
      </c>
      <c r="AO12" s="148">
        <v>157166326.74000001</v>
      </c>
    </row>
    <row r="13" spans="2:53" x14ac:dyDescent="0.2">
      <c r="K13" t="s">
        <v>112</v>
      </c>
      <c r="L13" s="148">
        <v>88334032.350374997</v>
      </c>
      <c r="AN13" t="s">
        <v>1</v>
      </c>
      <c r="AO13" s="148">
        <v>88334032.350374997</v>
      </c>
    </row>
    <row r="14" spans="2:53" x14ac:dyDescent="0.2">
      <c r="K14" t="s">
        <v>402</v>
      </c>
      <c r="L14" s="148">
        <v>85584600</v>
      </c>
      <c r="AN14" t="s">
        <v>51</v>
      </c>
      <c r="AO14" s="148">
        <v>85584600</v>
      </c>
    </row>
    <row r="15" spans="2:53" x14ac:dyDescent="0.2">
      <c r="K15" t="s">
        <v>166</v>
      </c>
      <c r="L15" s="148">
        <v>64505430.000000007</v>
      </c>
      <c r="AN15" t="s">
        <v>380</v>
      </c>
      <c r="AO15" s="148">
        <v>64505430.000000007</v>
      </c>
    </row>
    <row r="16" spans="2:53" x14ac:dyDescent="0.2">
      <c r="K16" t="s">
        <v>178</v>
      </c>
      <c r="L16" s="148">
        <v>58532998.5</v>
      </c>
      <c r="AN16" t="s">
        <v>511</v>
      </c>
      <c r="AO16" s="148">
        <v>58532998.5</v>
      </c>
    </row>
    <row r="17" spans="11:41" x14ac:dyDescent="0.2">
      <c r="K17" t="s">
        <v>153</v>
      </c>
      <c r="L17" s="148">
        <v>57056400</v>
      </c>
      <c r="AN17" t="s">
        <v>353</v>
      </c>
      <c r="AO17" s="148">
        <v>57056400</v>
      </c>
    </row>
    <row r="18" spans="11:41" x14ac:dyDescent="0.2">
      <c r="K18" t="s">
        <v>182</v>
      </c>
      <c r="L18" s="148">
        <v>55622065.5</v>
      </c>
      <c r="AN18" t="s">
        <v>576</v>
      </c>
      <c r="AO18" s="148">
        <v>55622065.5</v>
      </c>
    </row>
    <row r="19" spans="11:41" x14ac:dyDescent="0.2">
      <c r="K19" t="s">
        <v>238</v>
      </c>
      <c r="L19" s="148">
        <v>51480846.831</v>
      </c>
      <c r="AN19" t="s">
        <v>544</v>
      </c>
      <c r="AO19" s="148">
        <v>51480846.831</v>
      </c>
    </row>
    <row r="20" spans="11:41" x14ac:dyDescent="0.2">
      <c r="K20" t="s">
        <v>239</v>
      </c>
      <c r="L20" s="148">
        <v>51480846.831</v>
      </c>
      <c r="AN20" t="s">
        <v>545</v>
      </c>
      <c r="AO20" s="148">
        <v>51480846.831</v>
      </c>
    </row>
    <row r="21" spans="11:41" x14ac:dyDescent="0.2">
      <c r="K21" t="s">
        <v>177</v>
      </c>
      <c r="L21" s="148">
        <v>47890395</v>
      </c>
      <c r="AN21" t="s">
        <v>510</v>
      </c>
      <c r="AO21" s="148">
        <v>47890395</v>
      </c>
    </row>
    <row r="22" spans="11:41" x14ac:dyDescent="0.2">
      <c r="K22" t="s">
        <v>106</v>
      </c>
      <c r="L22" s="148">
        <v>38037600</v>
      </c>
      <c r="AN22" t="s">
        <v>53</v>
      </c>
      <c r="AO22" s="148">
        <v>38037600</v>
      </c>
    </row>
    <row r="23" spans="11:41" x14ac:dyDescent="0.2">
      <c r="K23" t="s">
        <v>118</v>
      </c>
      <c r="L23" s="148">
        <v>24497782.350375</v>
      </c>
      <c r="AN23" t="s">
        <v>592</v>
      </c>
      <c r="AO23" s="148">
        <v>24497782.350375</v>
      </c>
    </row>
    <row r="24" spans="11:41" x14ac:dyDescent="0.2">
      <c r="K24" t="s">
        <v>208</v>
      </c>
      <c r="L24" s="148">
        <v>24034726.739999998</v>
      </c>
      <c r="AN24" t="s">
        <v>655</v>
      </c>
      <c r="AO24" s="148">
        <v>21998412</v>
      </c>
    </row>
    <row r="25" spans="11:41" x14ac:dyDescent="0.2">
      <c r="K25" t="s">
        <v>654</v>
      </c>
      <c r="L25" s="148">
        <v>21998412</v>
      </c>
      <c r="AN25" t="s">
        <v>379</v>
      </c>
      <c r="AO25" s="148">
        <v>19547100</v>
      </c>
    </row>
    <row r="26" spans="11:41" x14ac:dyDescent="0.2">
      <c r="K26" t="s">
        <v>165</v>
      </c>
      <c r="L26" s="148">
        <v>19547100</v>
      </c>
      <c r="AN26" t="s">
        <v>509</v>
      </c>
      <c r="AO26" s="148">
        <v>19547100</v>
      </c>
    </row>
    <row r="27" spans="11:41" x14ac:dyDescent="0.2">
      <c r="K27" t="s">
        <v>117</v>
      </c>
      <c r="L27" s="148">
        <v>19547100</v>
      </c>
      <c r="AN27" t="s">
        <v>359</v>
      </c>
      <c r="AO27" s="148">
        <v>11981844</v>
      </c>
    </row>
    <row r="28" spans="11:41" x14ac:dyDescent="0.2">
      <c r="K28" t="s">
        <v>210</v>
      </c>
      <c r="L28" s="148">
        <v>17165277.059999999</v>
      </c>
      <c r="AN28" t="s">
        <v>373</v>
      </c>
      <c r="AO28" s="148">
        <v>9685500</v>
      </c>
    </row>
    <row r="29" spans="11:41" x14ac:dyDescent="0.2">
      <c r="K29" t="s">
        <v>167</v>
      </c>
      <c r="L29" s="148">
        <v>11981844</v>
      </c>
      <c r="AN29" t="s">
        <v>37</v>
      </c>
      <c r="AO29" s="148">
        <v>6656580</v>
      </c>
    </row>
    <row r="30" spans="11:41" x14ac:dyDescent="0.2">
      <c r="K30" t="s">
        <v>215</v>
      </c>
      <c r="L30" s="148">
        <v>10213800</v>
      </c>
      <c r="AN30" t="s">
        <v>384</v>
      </c>
      <c r="AO30" s="148">
        <v>6345873.5625</v>
      </c>
    </row>
    <row r="31" spans="11:41" x14ac:dyDescent="0.2">
      <c r="K31" t="s">
        <v>229</v>
      </c>
      <c r="L31" s="148">
        <v>9685500</v>
      </c>
      <c r="AN31" t="s">
        <v>522</v>
      </c>
      <c r="AO31" s="148">
        <v>5833312.5</v>
      </c>
    </row>
    <row r="32" spans="11:41" x14ac:dyDescent="0.2">
      <c r="K32" t="s">
        <v>217</v>
      </c>
      <c r="L32" s="148">
        <v>9584964.5099999998</v>
      </c>
      <c r="AN32" t="s">
        <v>360</v>
      </c>
      <c r="AO32" s="148">
        <v>5230170</v>
      </c>
    </row>
    <row r="33" spans="11:41" x14ac:dyDescent="0.2">
      <c r="K33" t="s">
        <v>473</v>
      </c>
      <c r="L33" s="148">
        <v>6345873.5625</v>
      </c>
      <c r="AN33" t="s">
        <v>283</v>
      </c>
      <c r="AO33" s="148">
        <v>4402500</v>
      </c>
    </row>
    <row r="34" spans="11:41" x14ac:dyDescent="0.2">
      <c r="K34" t="s">
        <v>126</v>
      </c>
      <c r="L34" s="148">
        <v>5833312.5</v>
      </c>
      <c r="AN34" t="s">
        <v>532</v>
      </c>
      <c r="AO34" s="148">
        <v>4385132.1375000002</v>
      </c>
    </row>
    <row r="35" spans="11:41" x14ac:dyDescent="0.2">
      <c r="K35" t="s">
        <v>203</v>
      </c>
      <c r="L35" s="148">
        <v>5283000</v>
      </c>
      <c r="AN35" t="s">
        <v>389</v>
      </c>
      <c r="AO35" s="148">
        <v>3233196</v>
      </c>
    </row>
    <row r="36" spans="11:41" x14ac:dyDescent="0.2">
      <c r="K36" t="s">
        <v>204</v>
      </c>
      <c r="L36" s="148">
        <v>5283000</v>
      </c>
      <c r="AN36" t="s">
        <v>518</v>
      </c>
      <c r="AO36" s="148">
        <v>2914093.1145000001</v>
      </c>
    </row>
    <row r="37" spans="11:41" x14ac:dyDescent="0.2">
      <c r="K37" t="s">
        <v>202</v>
      </c>
      <c r="L37" s="148">
        <v>5283000</v>
      </c>
      <c r="AN37" t="s">
        <v>589</v>
      </c>
      <c r="AO37" s="148">
        <v>2113200</v>
      </c>
    </row>
    <row r="38" spans="11:41" x14ac:dyDescent="0.2">
      <c r="K38" t="s">
        <v>168</v>
      </c>
      <c r="L38" s="148">
        <v>5230170</v>
      </c>
      <c r="AN38" t="s">
        <v>516</v>
      </c>
      <c r="AO38" s="148">
        <v>2072851.0874999999</v>
      </c>
    </row>
    <row r="39" spans="11:41" x14ac:dyDescent="0.2">
      <c r="K39" t="s">
        <v>207</v>
      </c>
      <c r="L39" s="148">
        <v>4402500</v>
      </c>
      <c r="AN39" t="s">
        <v>284</v>
      </c>
      <c r="AO39" s="148">
        <v>2071587.5699999998</v>
      </c>
    </row>
    <row r="40" spans="11:41" x14ac:dyDescent="0.2">
      <c r="K40" t="s">
        <v>139</v>
      </c>
      <c r="L40" s="148">
        <v>4385132.1375000002</v>
      </c>
      <c r="AN40" t="s">
        <v>523</v>
      </c>
      <c r="AO40" s="148">
        <v>396819.33749999997</v>
      </c>
    </row>
    <row r="41" spans="11:41" x14ac:dyDescent="0.2">
      <c r="K41" t="s">
        <v>689</v>
      </c>
      <c r="L41" s="148">
        <v>3803760</v>
      </c>
      <c r="AN41" t="s">
        <v>768</v>
      </c>
      <c r="AO41" s="148">
        <v>3016812759.1522503</v>
      </c>
    </row>
    <row r="42" spans="11:41" x14ac:dyDescent="0.2">
      <c r="K42" t="s">
        <v>120</v>
      </c>
      <c r="L42" s="148">
        <v>2914093.1145000001</v>
      </c>
    </row>
    <row r="43" spans="11:41" x14ac:dyDescent="0.2">
      <c r="K43" t="s">
        <v>173</v>
      </c>
      <c r="L43" s="148">
        <v>2852820</v>
      </c>
    </row>
    <row r="44" spans="11:41" x14ac:dyDescent="0.2">
      <c r="K44" t="s">
        <v>105</v>
      </c>
      <c r="L44" s="148">
        <v>2852820</v>
      </c>
    </row>
    <row r="45" spans="11:41" x14ac:dyDescent="0.2">
      <c r="K45" t="s">
        <v>591</v>
      </c>
      <c r="L45" s="148">
        <v>2113200</v>
      </c>
    </row>
    <row r="46" spans="11:41" x14ac:dyDescent="0.2">
      <c r="K46" t="s">
        <v>119</v>
      </c>
      <c r="L46" s="148">
        <v>2072851.0874999999</v>
      </c>
    </row>
    <row r="47" spans="11:41" x14ac:dyDescent="0.2">
      <c r="K47" t="s">
        <v>216</v>
      </c>
      <c r="L47" s="148">
        <v>2071587.5699999998</v>
      </c>
    </row>
    <row r="48" spans="11:41" x14ac:dyDescent="0.2">
      <c r="K48" t="s">
        <v>218</v>
      </c>
      <c r="L48" s="148">
        <v>1449848.91</v>
      </c>
    </row>
    <row r="49" spans="11:12" x14ac:dyDescent="0.2">
      <c r="K49" t="s">
        <v>127</v>
      </c>
      <c r="L49" s="148">
        <v>396819.33749999997</v>
      </c>
    </row>
    <row r="50" spans="11:12" x14ac:dyDescent="0.2">
      <c r="K50" t="s">
        <v>108</v>
      </c>
      <c r="L50" s="148">
        <v>380376</v>
      </c>
    </row>
    <row r="51" spans="11:12" x14ac:dyDescent="0.2">
      <c r="K51" t="s">
        <v>768</v>
      </c>
      <c r="L51" s="148">
        <v>3016812759.1522503</v>
      </c>
    </row>
  </sheetData>
  <pageMargins left="0.7" right="0.7" top="0.75" bottom="0.75" header="0.3" footer="0.3"/>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3BAEB-4AD4-044B-A36A-7E0BBCE555AC}">
  <dimension ref="A1:O147"/>
  <sheetViews>
    <sheetView showGridLines="0" zoomScaleNormal="100" workbookViewId="0">
      <pane xSplit="1" ySplit="3" topLeftCell="C4" activePane="bottomRight" state="frozen"/>
      <selection pane="topRight" activeCell="B1" sqref="B1"/>
      <selection pane="bottomLeft" activeCell="A4" sqref="A4"/>
      <selection pane="bottomRight" activeCell="L6" sqref="L6:L8"/>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33203125" bestFit="1" customWidth="1"/>
    <col min="6" max="6" width="14.1640625" bestFit="1" customWidth="1"/>
    <col min="8" max="8" width="30.6640625" customWidth="1"/>
    <col min="9" max="9" width="31.6640625" bestFit="1" customWidth="1"/>
    <col min="10" max="10" width="30.6640625" customWidth="1"/>
    <col min="11" max="11" width="20" customWidth="1"/>
    <col min="12" max="12" width="38.5" customWidth="1"/>
    <col min="13" max="13" width="32.83203125" bestFit="1" customWidth="1"/>
    <col min="14" max="14" width="25.33203125" bestFit="1" customWidth="1"/>
    <col min="15" max="15" width="26.1640625" bestFit="1" customWidth="1"/>
  </cols>
  <sheetData>
    <row r="1" spans="1:14" x14ac:dyDescent="0.2">
      <c r="D1" s="53" t="s">
        <v>233</v>
      </c>
      <c r="F1" s="232">
        <v>17.61</v>
      </c>
    </row>
    <row r="2" spans="1:14" ht="16" thickBot="1" x14ac:dyDescent="0.25">
      <c r="D2" s="52">
        <v>0.15</v>
      </c>
      <c r="F2" s="233"/>
    </row>
    <row r="3" spans="1:14" ht="16" x14ac:dyDescent="0.2">
      <c r="A3" t="s">
        <v>104</v>
      </c>
      <c r="B3" s="105" t="s">
        <v>467</v>
      </c>
      <c r="C3" s="106" t="s">
        <v>469</v>
      </c>
      <c r="D3" s="44" t="s">
        <v>176</v>
      </c>
      <c r="E3" s="44" t="s">
        <v>232</v>
      </c>
      <c r="F3" s="44" t="s">
        <v>38</v>
      </c>
      <c r="G3" s="44" t="s">
        <v>95</v>
      </c>
      <c r="H3" s="107" t="s">
        <v>350</v>
      </c>
      <c r="I3" s="107" t="s">
        <v>565</v>
      </c>
      <c r="J3" s="107" t="s">
        <v>566</v>
      </c>
      <c r="K3" s="108" t="s">
        <v>470</v>
      </c>
      <c r="L3" s="109" t="s">
        <v>472</v>
      </c>
      <c r="M3" s="45" t="s">
        <v>496</v>
      </c>
      <c r="N3" s="45" t="s">
        <v>497</v>
      </c>
    </row>
    <row r="4" spans="1:14" ht="144" x14ac:dyDescent="0.2">
      <c r="A4" s="65" t="s">
        <v>177</v>
      </c>
      <c r="B4" s="65" t="s">
        <v>468</v>
      </c>
      <c r="C4" s="63" t="s">
        <v>3</v>
      </c>
      <c r="D4" s="68">
        <f>Table810121314[[#This Row],[DKK - Amount]]*$D$2</f>
        <v>2719500</v>
      </c>
      <c r="E4" s="93">
        <v>18130000</v>
      </c>
      <c r="F4" s="79">
        <f>Table810121314[[#This Row],[Total US$ ]]*$F$1</f>
        <v>47890395</v>
      </c>
      <c r="G4" s="65" t="s">
        <v>86</v>
      </c>
      <c r="H4" s="63" t="s">
        <v>510</v>
      </c>
      <c r="I4" s="63" t="s">
        <v>510</v>
      </c>
      <c r="J4" s="63" t="s">
        <v>567</v>
      </c>
      <c r="K4" s="84" t="s">
        <v>494</v>
      </c>
      <c r="L4" s="63" t="s">
        <v>749</v>
      </c>
      <c r="M4" s="85">
        <v>44501</v>
      </c>
      <c r="N4" s="85">
        <v>46112</v>
      </c>
    </row>
    <row r="5" spans="1:14" ht="160" x14ac:dyDescent="0.2">
      <c r="A5" s="65" t="s">
        <v>178</v>
      </c>
      <c r="B5" s="65" t="s">
        <v>468</v>
      </c>
      <c r="C5" s="63" t="s">
        <v>4</v>
      </c>
      <c r="D5" s="68">
        <f>Table810121314[[#This Row],[DKK - Amount]]*$D$2</f>
        <v>3323850</v>
      </c>
      <c r="E5" s="93">
        <v>22159000</v>
      </c>
      <c r="F5" s="79">
        <f>Table810121314[[#This Row],[Total US$ ]]*$F$1</f>
        <v>58532998.5</v>
      </c>
      <c r="G5" s="65" t="s">
        <v>86</v>
      </c>
      <c r="H5" s="63" t="s">
        <v>511</v>
      </c>
      <c r="I5" s="63" t="s">
        <v>510</v>
      </c>
      <c r="J5" s="63" t="s">
        <v>567</v>
      </c>
      <c r="K5" s="84" t="s">
        <v>494</v>
      </c>
      <c r="L5" s="63" t="s">
        <v>750</v>
      </c>
      <c r="M5" s="85">
        <v>44501</v>
      </c>
      <c r="N5" s="85">
        <v>46112</v>
      </c>
    </row>
    <row r="6" spans="1:14" ht="96" x14ac:dyDescent="0.2">
      <c r="A6" s="65" t="s">
        <v>179</v>
      </c>
      <c r="B6" s="65" t="s">
        <v>73</v>
      </c>
      <c r="C6" s="63" t="s">
        <v>8</v>
      </c>
      <c r="D6" s="68">
        <f>Table810121314[[#This Row],[DKK - Amount]]*$D$2</f>
        <v>163050</v>
      </c>
      <c r="E6" s="93">
        <v>1087000</v>
      </c>
      <c r="F6" s="79">
        <f>Table810121314[[#This Row],[Total US$ ]]*$F$1</f>
        <v>2871310.5</v>
      </c>
      <c r="G6" s="65" t="s">
        <v>86</v>
      </c>
      <c r="H6" s="63" t="s">
        <v>568</v>
      </c>
      <c r="I6" s="63" t="s">
        <v>568</v>
      </c>
      <c r="J6" s="63" t="s">
        <v>569</v>
      </c>
      <c r="K6" s="84" t="s">
        <v>494</v>
      </c>
      <c r="L6" s="169" t="s">
        <v>805</v>
      </c>
      <c r="M6" s="85">
        <v>44845</v>
      </c>
      <c r="N6" s="85">
        <v>45657</v>
      </c>
    </row>
    <row r="7" spans="1:14" ht="96" x14ac:dyDescent="0.2">
      <c r="A7" s="65" t="s">
        <v>180</v>
      </c>
      <c r="B7" s="65" t="s">
        <v>73</v>
      </c>
      <c r="C7" s="63" t="s">
        <v>8</v>
      </c>
      <c r="D7" s="68">
        <f>Table810121314[[#This Row],[DKK - Amount]]*$D$2</f>
        <v>399450</v>
      </c>
      <c r="E7" s="93">
        <v>2663000</v>
      </c>
      <c r="F7" s="79">
        <f>Table810121314[[#This Row],[Total US$ ]]*$F$1</f>
        <v>7034314.5</v>
      </c>
      <c r="G7" s="65" t="s">
        <v>86</v>
      </c>
      <c r="H7" s="63" t="s">
        <v>570</v>
      </c>
      <c r="I7" s="63" t="s">
        <v>571</v>
      </c>
      <c r="J7" s="63" t="s">
        <v>572</v>
      </c>
      <c r="K7" s="84" t="s">
        <v>494</v>
      </c>
      <c r="L7" s="169" t="s">
        <v>806</v>
      </c>
      <c r="M7" s="85">
        <v>44845</v>
      </c>
      <c r="N7" s="85">
        <v>45657</v>
      </c>
    </row>
    <row r="8" spans="1:14" ht="128" x14ac:dyDescent="0.2">
      <c r="A8" s="65" t="s">
        <v>181</v>
      </c>
      <c r="B8" s="65" t="s">
        <v>73</v>
      </c>
      <c r="C8" s="63" t="s">
        <v>8</v>
      </c>
      <c r="D8" s="68">
        <f>Table810121314[[#This Row],[DKK - Amount]]*$D$2</f>
        <v>2250000</v>
      </c>
      <c r="E8" s="93">
        <v>15000000</v>
      </c>
      <c r="F8" s="79">
        <f>Table810121314[[#This Row],[Total US$ ]]*$F$1</f>
        <v>39622500</v>
      </c>
      <c r="G8" s="65" t="s">
        <v>86</v>
      </c>
      <c r="H8" s="63" t="s">
        <v>573</v>
      </c>
      <c r="I8" s="63" t="s">
        <v>574</v>
      </c>
      <c r="J8" s="63" t="s">
        <v>575</v>
      </c>
      <c r="K8" s="84" t="s">
        <v>494</v>
      </c>
      <c r="L8" s="169" t="s">
        <v>807</v>
      </c>
      <c r="M8" s="85">
        <v>44927</v>
      </c>
      <c r="N8" s="85">
        <v>46752</v>
      </c>
    </row>
    <row r="9" spans="1:14" ht="80" x14ac:dyDescent="0.2">
      <c r="A9" s="65" t="s">
        <v>182</v>
      </c>
      <c r="B9" s="65" t="s">
        <v>468</v>
      </c>
      <c r="C9" s="63" t="s">
        <v>426</v>
      </c>
      <c r="D9" s="68">
        <f>Table810121314[[#This Row],[DKK - Amount]]*$D$2</f>
        <v>3158550</v>
      </c>
      <c r="E9" s="93">
        <v>21057000</v>
      </c>
      <c r="F9" s="79">
        <f>Table810121314[[#This Row],[Total US$ ]]*$F$1</f>
        <v>55622065.5</v>
      </c>
      <c r="G9" s="65" t="s">
        <v>86</v>
      </c>
      <c r="H9" s="63" t="s">
        <v>576</v>
      </c>
      <c r="I9" s="63" t="s">
        <v>512</v>
      </c>
      <c r="J9" s="63" t="s">
        <v>577</v>
      </c>
      <c r="K9" s="84" t="s">
        <v>494</v>
      </c>
      <c r="L9" s="63" t="s">
        <v>554</v>
      </c>
      <c r="M9" s="85">
        <v>44562</v>
      </c>
      <c r="N9" s="85">
        <v>46022</v>
      </c>
    </row>
    <row r="10" spans="1:14" ht="96" x14ac:dyDescent="0.2">
      <c r="A10" s="65" t="s">
        <v>183</v>
      </c>
      <c r="B10" s="65" t="s">
        <v>72</v>
      </c>
      <c r="C10" s="63" t="s">
        <v>32</v>
      </c>
      <c r="D10" s="68">
        <f>Table810121314[[#This Row],[DKK - Amount]]*$D$2</f>
        <v>945000</v>
      </c>
      <c r="E10" s="93">
        <v>6300000</v>
      </c>
      <c r="F10" s="79">
        <f>Table810121314[[#This Row],[Total US$ ]]*$F$1</f>
        <v>16641450</v>
      </c>
      <c r="G10" s="65" t="s">
        <v>86</v>
      </c>
      <c r="H10" s="63" t="s">
        <v>578</v>
      </c>
      <c r="I10" s="63" t="s">
        <v>579</v>
      </c>
      <c r="J10" s="63" t="s">
        <v>580</v>
      </c>
      <c r="K10" s="84" t="s">
        <v>494</v>
      </c>
      <c r="L10" s="63" t="s">
        <v>555</v>
      </c>
      <c r="M10" s="85">
        <v>44562</v>
      </c>
      <c r="N10" s="85">
        <v>46752</v>
      </c>
    </row>
    <row r="11" spans="1:14" ht="112" x14ac:dyDescent="0.2">
      <c r="A11" s="65" t="s">
        <v>184</v>
      </c>
      <c r="B11" s="65" t="s">
        <v>72</v>
      </c>
      <c r="C11" s="63" t="s">
        <v>32</v>
      </c>
      <c r="D11" s="68">
        <f>Table810121314[[#This Row],[DKK - Amount]]*$D$2</f>
        <v>1687500</v>
      </c>
      <c r="E11" s="93">
        <v>11250000</v>
      </c>
      <c r="F11" s="79">
        <f>Table810121314[[#This Row],[Total US$ ]]*$F$1</f>
        <v>29716875</v>
      </c>
      <c r="G11" s="65" t="s">
        <v>86</v>
      </c>
      <c r="H11" s="63" t="s">
        <v>578</v>
      </c>
      <c r="I11" s="63" t="s">
        <v>579</v>
      </c>
      <c r="J11" s="63" t="s">
        <v>580</v>
      </c>
      <c r="K11" s="84" t="s">
        <v>494</v>
      </c>
      <c r="L11" s="63" t="s">
        <v>556</v>
      </c>
      <c r="M11" s="85">
        <v>44562</v>
      </c>
      <c r="N11" s="85">
        <v>46752</v>
      </c>
    </row>
    <row r="12" spans="1:14" s="51" customFormat="1" ht="96" x14ac:dyDescent="0.2">
      <c r="A12" s="65" t="s">
        <v>185</v>
      </c>
      <c r="B12" s="65" t="s">
        <v>72</v>
      </c>
      <c r="C12" s="63" t="s">
        <v>32</v>
      </c>
      <c r="D12" s="68">
        <f>Table810121314[[#This Row],[DKK - Amount]]*$D$2</f>
        <v>6300000</v>
      </c>
      <c r="E12" s="93">
        <v>42000000</v>
      </c>
      <c r="F12" s="79">
        <f>Table810121314[[#This Row],[Total US$ ]]*$F$1</f>
        <v>110943000</v>
      </c>
      <c r="G12" s="65" t="s">
        <v>86</v>
      </c>
      <c r="H12" s="63" t="s">
        <v>578</v>
      </c>
      <c r="I12" s="63" t="s">
        <v>581</v>
      </c>
      <c r="J12" s="63" t="s">
        <v>582</v>
      </c>
      <c r="K12" s="84" t="s">
        <v>494</v>
      </c>
      <c r="L12" s="63" t="s">
        <v>557</v>
      </c>
      <c r="M12" s="85">
        <v>44562</v>
      </c>
      <c r="N12" s="85">
        <v>46752</v>
      </c>
    </row>
    <row r="13" spans="1:14" s="34" customFormat="1" ht="176" x14ac:dyDescent="0.2">
      <c r="A13" s="65" t="s">
        <v>716</v>
      </c>
      <c r="B13" s="65" t="s">
        <v>72</v>
      </c>
      <c r="C13" s="63" t="s">
        <v>717</v>
      </c>
      <c r="D13" s="66">
        <f>Table810121314[[#This Row],[DKK - Amount]]*$D$2</f>
        <v>300000</v>
      </c>
      <c r="E13" s="93">
        <v>2000000</v>
      </c>
      <c r="F13" s="67">
        <f>Table810121314[[#This Row],[Total US$ ]]*$F$1</f>
        <v>5283000</v>
      </c>
      <c r="G13" s="65" t="s">
        <v>86</v>
      </c>
      <c r="H13" s="63" t="s">
        <v>718</v>
      </c>
      <c r="I13" s="63"/>
      <c r="J13" s="63"/>
      <c r="K13" s="84" t="s">
        <v>250</v>
      </c>
      <c r="L13" s="63" t="s">
        <v>802</v>
      </c>
      <c r="M13" s="85">
        <v>45200</v>
      </c>
      <c r="N13" s="85">
        <v>46387</v>
      </c>
    </row>
    <row r="14" spans="1:14" s="51" customFormat="1" ht="96" x14ac:dyDescent="0.2">
      <c r="A14" s="65" t="s">
        <v>583</v>
      </c>
      <c r="B14" s="65" t="s">
        <v>73</v>
      </c>
      <c r="C14" s="63" t="s">
        <v>584</v>
      </c>
      <c r="D14" s="66">
        <f>Table810121314[[#This Row],[DKK - Amount]]*$D$2</f>
        <v>75000</v>
      </c>
      <c r="E14" s="93">
        <v>500000</v>
      </c>
      <c r="F14" s="79">
        <f>Table810121314[[#This Row],[Total US$ ]]*$F$1</f>
        <v>1320750</v>
      </c>
      <c r="G14" s="65" t="s">
        <v>86</v>
      </c>
      <c r="H14" s="63" t="s">
        <v>586</v>
      </c>
      <c r="I14" s="63" t="s">
        <v>587</v>
      </c>
      <c r="J14" s="63" t="s">
        <v>588</v>
      </c>
      <c r="K14" s="84" t="s">
        <v>494</v>
      </c>
      <c r="L14" s="63" t="s">
        <v>751</v>
      </c>
      <c r="M14" s="85">
        <v>45504</v>
      </c>
      <c r="N14" s="85">
        <v>46053</v>
      </c>
    </row>
    <row r="15" spans="1:14" s="34" customFormat="1" ht="128" x14ac:dyDescent="0.2">
      <c r="A15" s="65" t="s">
        <v>719</v>
      </c>
      <c r="B15" s="65" t="s">
        <v>468</v>
      </c>
      <c r="C15" s="63" t="s">
        <v>8</v>
      </c>
      <c r="D15" s="66">
        <f>Table810121314[[#This Row],[DKK - Amount]]*$D$2</f>
        <v>450000</v>
      </c>
      <c r="E15" s="93">
        <v>3000000</v>
      </c>
      <c r="F15" s="67">
        <f>Table810121314[[#This Row],[Total US$ ]]*$F$1</f>
        <v>7924500</v>
      </c>
      <c r="G15" s="65" t="s">
        <v>86</v>
      </c>
      <c r="H15" s="63" t="s">
        <v>720</v>
      </c>
      <c r="I15" s="63" t="s">
        <v>721</v>
      </c>
      <c r="J15" s="63" t="s">
        <v>722</v>
      </c>
      <c r="K15" s="84" t="s">
        <v>250</v>
      </c>
      <c r="L15" s="63" t="s">
        <v>803</v>
      </c>
      <c r="M15" s="85">
        <v>45292</v>
      </c>
      <c r="N15" s="85">
        <v>46752</v>
      </c>
    </row>
    <row r="16" spans="1:14" s="51" customFormat="1" ht="192" x14ac:dyDescent="0.2">
      <c r="A16" s="65" t="s">
        <v>591</v>
      </c>
      <c r="B16" s="65" t="s">
        <v>468</v>
      </c>
      <c r="C16" s="63" t="s">
        <v>585</v>
      </c>
      <c r="D16" s="66">
        <f>Table810121314[[#This Row],[DKK - Amount]]*$D$2</f>
        <v>120000</v>
      </c>
      <c r="E16" s="93">
        <v>800000</v>
      </c>
      <c r="F16" s="79">
        <f>Table810121314[[#This Row],[Total US$ ]]*$F$1</f>
        <v>2113200</v>
      </c>
      <c r="G16" s="65" t="s">
        <v>86</v>
      </c>
      <c r="H16" s="63" t="s">
        <v>589</v>
      </c>
      <c r="I16" s="63" t="s">
        <v>589</v>
      </c>
      <c r="J16" s="63" t="s">
        <v>590</v>
      </c>
      <c r="K16" s="84" t="s">
        <v>494</v>
      </c>
      <c r="L16" s="63" t="s">
        <v>752</v>
      </c>
      <c r="M16" s="85">
        <v>45102</v>
      </c>
      <c r="N16" s="85">
        <v>45657</v>
      </c>
    </row>
    <row r="17" spans="1:15" x14ac:dyDescent="0.2">
      <c r="A17" s="65"/>
      <c r="B17" s="65"/>
      <c r="C17" s="62"/>
      <c r="D17" s="66">
        <f>SUBTOTAL(109,Table810121314[Total US$ ])</f>
        <v>21891900</v>
      </c>
      <c r="E17" s="93">
        <f>SUBTOTAL(109,Table810121314[DKK - Amount])</f>
        <v>145946000</v>
      </c>
      <c r="F17" s="79">
        <f>SUBTOTAL(109,Table810121314[Total ZAR])</f>
        <v>385516359</v>
      </c>
      <c r="G17" s="91"/>
      <c r="H17" s="18"/>
      <c r="I17" s="18"/>
      <c r="J17" s="18"/>
      <c r="K17" s="92"/>
      <c r="L17" s="17"/>
      <c r="M17" s="19"/>
      <c r="N17" s="19"/>
    </row>
    <row r="18" spans="1:15" x14ac:dyDescent="0.2">
      <c r="A18" s="30"/>
      <c r="B18" s="22"/>
      <c r="C18" s="12"/>
      <c r="D18" s="25"/>
      <c r="E18" s="25"/>
      <c r="F18" s="27"/>
      <c r="G18" s="6"/>
      <c r="H18" s="7"/>
      <c r="I18" s="7"/>
      <c r="J18" s="7"/>
      <c r="K18" s="23"/>
      <c r="L18" s="21"/>
      <c r="M18" s="7"/>
      <c r="N18" s="14"/>
      <c r="O18" s="14"/>
    </row>
    <row r="19" spans="1:15" ht="30" customHeight="1" x14ac:dyDescent="0.2">
      <c r="A19" s="230" t="s">
        <v>676</v>
      </c>
      <c r="B19" s="230"/>
      <c r="C19" s="230"/>
      <c r="D19" s="230"/>
      <c r="E19" s="230"/>
      <c r="F19" s="230"/>
      <c r="G19" s="230"/>
      <c r="H19" s="230"/>
      <c r="I19" s="230"/>
      <c r="J19" s="230"/>
      <c r="K19" s="230"/>
      <c r="L19" s="230"/>
      <c r="M19" s="230"/>
      <c r="N19" s="230"/>
      <c r="O19" s="230"/>
    </row>
    <row r="20" spans="1:15" x14ac:dyDescent="0.2">
      <c r="B20" s="1"/>
      <c r="E20" s="1"/>
      <c r="F20" s="1"/>
      <c r="G20" s="8"/>
      <c r="H20" s="1"/>
      <c r="I20" s="1"/>
      <c r="J20" s="1"/>
      <c r="K20" s="3"/>
      <c r="M20" s="17"/>
      <c r="N20" s="19"/>
      <c r="O20" s="19"/>
    </row>
    <row r="21" spans="1:15" ht="15" customHeight="1" x14ac:dyDescent="0.2">
      <c r="A21" s="230" t="s">
        <v>561</v>
      </c>
      <c r="B21" s="230"/>
      <c r="C21" s="230"/>
      <c r="D21" s="230"/>
      <c r="E21" s="230"/>
      <c r="F21" s="230"/>
      <c r="G21" s="230"/>
      <c r="H21" s="230"/>
      <c r="I21" s="230"/>
      <c r="J21" s="230"/>
      <c r="K21" s="230"/>
      <c r="L21" s="230"/>
      <c r="M21" s="17"/>
      <c r="N21" s="19"/>
      <c r="O21" s="19"/>
    </row>
    <row r="22" spans="1:15" x14ac:dyDescent="0.2">
      <c r="A22" s="30"/>
      <c r="B22" s="6"/>
      <c r="C22" s="13"/>
      <c r="D22" s="26"/>
      <c r="E22" s="26"/>
      <c r="F22" s="27"/>
      <c r="G22" s="6"/>
      <c r="H22" s="15"/>
      <c r="I22" s="15"/>
      <c r="J22" s="15"/>
      <c r="K22" s="23"/>
      <c r="L22" s="20"/>
      <c r="M22" s="15"/>
      <c r="N22" s="16"/>
      <c r="O22" s="16"/>
    </row>
    <row r="23" spans="1:15" x14ac:dyDescent="0.2">
      <c r="A23" s="2" t="s">
        <v>502</v>
      </c>
      <c r="B23" s="6"/>
      <c r="C23" s="13"/>
      <c r="D23" s="26"/>
      <c r="E23" s="26"/>
      <c r="F23" s="27"/>
      <c r="G23" s="6"/>
      <c r="H23" s="15"/>
      <c r="I23" s="15"/>
      <c r="J23" s="15"/>
      <c r="K23" s="23"/>
      <c r="L23" s="20"/>
      <c r="M23" s="15"/>
      <c r="N23" s="16"/>
      <c r="O23" s="16"/>
    </row>
    <row r="24" spans="1:15" x14ac:dyDescent="0.2">
      <c r="A24" s="30"/>
      <c r="B24" s="22"/>
      <c r="C24" s="13"/>
      <c r="D24" s="26"/>
      <c r="E24" s="26"/>
      <c r="F24" s="27"/>
      <c r="G24" s="5"/>
      <c r="H24" s="15"/>
      <c r="I24" s="15"/>
      <c r="J24" s="15"/>
      <c r="K24" s="23"/>
      <c r="L24" s="20"/>
      <c r="M24" s="15"/>
      <c r="N24" s="16"/>
      <c r="O24" s="16"/>
    </row>
    <row r="25" spans="1:15" x14ac:dyDescent="0.2">
      <c r="A25" s="30"/>
      <c r="B25" s="22"/>
      <c r="C25" s="12"/>
      <c r="D25" s="25"/>
      <c r="E25" s="25"/>
      <c r="F25" s="27"/>
      <c r="G25" s="5"/>
      <c r="H25" s="7"/>
      <c r="I25" s="7"/>
      <c r="J25" s="7"/>
      <c r="K25" s="23"/>
      <c r="L25" s="20"/>
      <c r="M25" s="7"/>
      <c r="N25" s="16"/>
      <c r="O25" s="14"/>
    </row>
    <row r="26" spans="1:15" x14ac:dyDescent="0.2">
      <c r="A26" s="30"/>
      <c r="B26" s="22"/>
      <c r="C26" s="12"/>
      <c r="D26" s="25"/>
      <c r="E26" s="25"/>
      <c r="F26" s="27"/>
      <c r="G26" s="5"/>
      <c r="H26" s="7"/>
      <c r="I26" s="7"/>
      <c r="J26" s="7"/>
      <c r="K26" s="23"/>
      <c r="L26" s="20"/>
      <c r="M26" s="12"/>
      <c r="N26" s="16"/>
      <c r="O26" s="14"/>
    </row>
    <row r="27" spans="1:15" x14ac:dyDescent="0.2">
      <c r="A27" s="30"/>
      <c r="B27" s="22"/>
      <c r="C27" s="12"/>
      <c r="D27" s="25"/>
      <c r="E27" s="25"/>
      <c r="F27" s="27"/>
      <c r="G27" s="6"/>
      <c r="H27" s="7"/>
      <c r="I27" s="7"/>
      <c r="J27" s="7"/>
      <c r="K27" s="23"/>
      <c r="L27" s="20"/>
      <c r="M27" s="12"/>
      <c r="N27" s="14"/>
      <c r="O27" s="14"/>
    </row>
    <row r="28" spans="1:15" x14ac:dyDescent="0.2">
      <c r="A28" s="30"/>
      <c r="B28" s="22"/>
      <c r="C28" s="12"/>
      <c r="D28" s="25"/>
      <c r="E28" s="25"/>
      <c r="F28" s="27"/>
      <c r="G28" s="6"/>
      <c r="H28" s="7"/>
      <c r="I28" s="7"/>
      <c r="J28" s="7"/>
      <c r="K28" s="23"/>
      <c r="L28" s="20"/>
      <c r="M28" s="12"/>
      <c r="N28" s="14"/>
      <c r="O28" s="14"/>
    </row>
    <row r="29" spans="1:15" x14ac:dyDescent="0.2">
      <c r="A29" s="30"/>
      <c r="B29" s="22"/>
      <c r="C29" s="12"/>
      <c r="D29" s="25"/>
      <c r="E29" s="25"/>
      <c r="F29" s="27"/>
      <c r="G29" s="6"/>
      <c r="H29" s="7"/>
      <c r="I29" s="7"/>
      <c r="J29" s="7"/>
      <c r="K29" s="23"/>
      <c r="L29" s="20"/>
      <c r="M29" s="12"/>
      <c r="N29" s="14"/>
      <c r="O29" s="14"/>
    </row>
    <row r="30" spans="1:15" x14ac:dyDescent="0.2">
      <c r="A30" s="30"/>
      <c r="B30" s="22"/>
      <c r="C30" s="12"/>
      <c r="D30" s="25"/>
      <c r="E30" s="25"/>
      <c r="F30" s="27"/>
      <c r="G30" s="6"/>
      <c r="H30" s="7"/>
      <c r="I30" s="7"/>
      <c r="J30" s="7"/>
      <c r="K30" s="23"/>
      <c r="L30" s="20"/>
      <c r="M30" s="7"/>
      <c r="N30" s="14"/>
      <c r="O30" s="14"/>
    </row>
    <row r="31" spans="1:15" x14ac:dyDescent="0.2">
      <c r="A31" s="30"/>
      <c r="B31" s="22"/>
      <c r="C31" s="12"/>
      <c r="D31" s="25"/>
      <c r="E31" s="25"/>
      <c r="F31" s="27"/>
      <c r="G31" s="6"/>
      <c r="H31" s="7"/>
      <c r="I31" s="7"/>
      <c r="J31" s="7"/>
      <c r="K31" s="23"/>
      <c r="L31" s="21"/>
      <c r="M31" s="7"/>
      <c r="N31" s="14"/>
      <c r="O31" s="14"/>
    </row>
    <row r="32" spans="1:15" x14ac:dyDescent="0.2">
      <c r="A32" s="30"/>
      <c r="B32" s="22"/>
      <c r="C32" s="12"/>
      <c r="D32" s="25"/>
      <c r="E32" s="25"/>
      <c r="F32" s="27"/>
      <c r="G32" s="6"/>
      <c r="H32" s="7"/>
      <c r="I32" s="7"/>
      <c r="J32" s="7"/>
      <c r="K32" s="23"/>
      <c r="L32" s="21"/>
      <c r="M32" s="12"/>
      <c r="N32" s="16"/>
      <c r="O32" s="14"/>
    </row>
    <row r="33" spans="1:15" x14ac:dyDescent="0.2">
      <c r="A33" s="30"/>
      <c r="B33" s="22"/>
      <c r="C33" s="12"/>
      <c r="D33" s="25"/>
      <c r="E33" s="25"/>
      <c r="F33" s="27"/>
      <c r="G33" s="6"/>
      <c r="H33" s="7"/>
      <c r="I33" s="7"/>
      <c r="J33" s="7"/>
      <c r="K33" s="23"/>
      <c r="L33" s="39"/>
      <c r="M33" s="7"/>
      <c r="N33" s="14"/>
      <c r="O33" s="14"/>
    </row>
    <row r="34" spans="1:15" x14ac:dyDescent="0.2">
      <c r="A34" s="30"/>
      <c r="B34" s="34"/>
      <c r="C34" s="34"/>
      <c r="D34" s="40"/>
      <c r="E34" s="40"/>
      <c r="F34" s="27"/>
      <c r="G34" s="5"/>
      <c r="H34" s="36"/>
      <c r="I34" s="36"/>
      <c r="J34" s="36"/>
      <c r="K34" s="38"/>
      <c r="L34" s="39"/>
      <c r="M34" s="36"/>
      <c r="N34" s="41"/>
      <c r="O34" s="41"/>
    </row>
    <row r="35" spans="1:15" x14ac:dyDescent="0.2">
      <c r="A35" s="30"/>
      <c r="B35" s="30"/>
      <c r="C35" s="6"/>
      <c r="D35" s="42"/>
      <c r="E35" s="42"/>
      <c r="F35" s="27"/>
      <c r="G35" s="5"/>
      <c r="H35" s="31"/>
      <c r="I35" s="31"/>
      <c r="J35" s="31"/>
      <c r="K35" s="23"/>
      <c r="L35" s="43"/>
      <c r="M35" s="31"/>
      <c r="N35" s="33"/>
      <c r="O35" s="33"/>
    </row>
    <row r="36" spans="1:15" x14ac:dyDescent="0.2">
      <c r="A36" s="30"/>
      <c r="B36" s="34"/>
      <c r="C36" s="5"/>
      <c r="D36" s="40"/>
      <c r="E36" s="40"/>
      <c r="F36" s="27"/>
      <c r="G36" s="5"/>
      <c r="H36" s="36"/>
      <c r="I36" s="36"/>
      <c r="J36" s="36"/>
      <c r="K36" s="38"/>
      <c r="L36" s="39"/>
      <c r="M36" s="36"/>
      <c r="N36" s="41"/>
      <c r="O36" s="41"/>
    </row>
    <row r="37" spans="1:15" x14ac:dyDescent="0.2">
      <c r="A37" s="30"/>
      <c r="B37" s="34"/>
      <c r="C37" s="35"/>
      <c r="D37" s="40"/>
      <c r="E37" s="40"/>
      <c r="F37" s="27"/>
      <c r="G37" s="5"/>
      <c r="H37" s="36"/>
      <c r="I37" s="36"/>
      <c r="J37" s="36"/>
      <c r="K37" s="38"/>
      <c r="L37" s="39"/>
      <c r="M37" s="36"/>
      <c r="N37" s="41"/>
      <c r="O37" s="41"/>
    </row>
    <row r="38" spans="1:15" x14ac:dyDescent="0.2">
      <c r="A38" s="30"/>
      <c r="B38" s="30"/>
      <c r="C38" s="29"/>
      <c r="D38" s="42"/>
      <c r="E38" s="42"/>
      <c r="F38" s="27"/>
      <c r="G38" s="6"/>
      <c r="H38" s="31"/>
      <c r="I38" s="31"/>
      <c r="J38" s="31"/>
      <c r="K38" s="23"/>
      <c r="L38" s="32"/>
      <c r="M38" s="31"/>
      <c r="N38" s="33"/>
      <c r="O38" s="33"/>
    </row>
    <row r="39" spans="1:15" x14ac:dyDescent="0.2">
      <c r="A39" s="30"/>
      <c r="B39" s="34"/>
      <c r="C39" s="35"/>
      <c r="D39" s="34"/>
      <c r="E39" s="34"/>
      <c r="F39" s="27"/>
      <c r="G39" s="5"/>
      <c r="H39" s="36"/>
      <c r="I39" s="36"/>
      <c r="J39" s="36"/>
      <c r="K39" s="38"/>
      <c r="L39" s="37"/>
      <c r="M39" s="36"/>
      <c r="N39" s="41"/>
      <c r="O39" s="41"/>
    </row>
    <row r="40" spans="1:15" x14ac:dyDescent="0.2">
      <c r="A40" s="30"/>
      <c r="B40" s="34"/>
      <c r="C40" s="35"/>
      <c r="D40" s="34"/>
      <c r="E40" s="34"/>
      <c r="F40" s="27"/>
      <c r="G40" s="5"/>
      <c r="H40" s="36"/>
      <c r="I40" s="36"/>
      <c r="J40" s="36"/>
      <c r="K40" s="38"/>
      <c r="L40" s="37"/>
      <c r="M40" s="36"/>
      <c r="N40" s="41"/>
      <c r="O40" s="41"/>
    </row>
    <row r="41" spans="1:15" x14ac:dyDescent="0.2">
      <c r="A41" s="30"/>
      <c r="B41" s="30"/>
      <c r="C41" s="35"/>
      <c r="D41" s="42"/>
      <c r="E41" s="42"/>
      <c r="F41" s="27"/>
      <c r="G41" s="6"/>
      <c r="H41" s="31"/>
      <c r="I41" s="31"/>
      <c r="J41" s="31"/>
      <c r="K41" s="23"/>
      <c r="L41" s="39"/>
      <c r="M41" s="31"/>
      <c r="N41" s="33"/>
      <c r="O41" s="33"/>
    </row>
    <row r="42" spans="1:15" x14ac:dyDescent="0.2">
      <c r="A42" s="30"/>
      <c r="B42" s="30"/>
      <c r="C42" s="29"/>
      <c r="D42" s="42"/>
      <c r="E42" s="42"/>
      <c r="F42" s="27"/>
      <c r="G42" s="6"/>
      <c r="H42" s="31"/>
      <c r="I42" s="31"/>
      <c r="J42" s="31"/>
      <c r="K42" s="23"/>
      <c r="L42" s="32"/>
      <c r="M42" s="31"/>
      <c r="N42" s="33"/>
      <c r="O42" s="33"/>
    </row>
    <row r="43" spans="1:15" x14ac:dyDescent="0.2">
      <c r="A43" s="30"/>
      <c r="B43" s="34"/>
      <c r="C43" s="35"/>
      <c r="D43" s="34"/>
      <c r="E43" s="34"/>
      <c r="F43" s="27"/>
      <c r="G43" s="6"/>
      <c r="H43" s="36"/>
      <c r="I43" s="36"/>
      <c r="J43" s="36"/>
      <c r="K43" s="37"/>
      <c r="L43" s="37"/>
      <c r="M43" s="36"/>
      <c r="N43" s="41"/>
      <c r="O43" s="41"/>
    </row>
    <row r="44" spans="1:15" x14ac:dyDescent="0.2">
      <c r="A44" s="30"/>
      <c r="B44" s="30"/>
      <c r="C44" s="29"/>
      <c r="D44" s="42"/>
      <c r="E44" s="42"/>
      <c r="F44" s="27"/>
      <c r="G44" s="6"/>
      <c r="H44" s="31"/>
      <c r="I44" s="31"/>
      <c r="J44" s="31"/>
      <c r="K44" s="23"/>
      <c r="L44" s="32"/>
      <c r="M44" s="31"/>
      <c r="N44" s="33"/>
      <c r="O44" s="33"/>
    </row>
    <row r="45" spans="1:15" x14ac:dyDescent="0.2">
      <c r="A45" s="30"/>
      <c r="B45" s="6"/>
      <c r="C45" s="17"/>
      <c r="D45" s="28"/>
      <c r="E45" s="28"/>
      <c r="F45" s="27"/>
      <c r="G45" s="6"/>
      <c r="H45" s="18"/>
      <c r="I45" s="18"/>
      <c r="J45" s="18"/>
      <c r="K45" s="49"/>
      <c r="L45" s="20"/>
      <c r="M45" s="17"/>
      <c r="N45" s="19"/>
      <c r="O45" s="19"/>
    </row>
    <row r="46" spans="1:15" x14ac:dyDescent="0.2">
      <c r="A46" s="30"/>
      <c r="B46" s="6"/>
      <c r="C46" s="17"/>
      <c r="D46" s="28"/>
      <c r="E46" s="28"/>
      <c r="F46" s="27"/>
      <c r="G46" s="6"/>
      <c r="H46" s="18"/>
      <c r="I46" s="18"/>
      <c r="J46" s="18"/>
      <c r="K46" s="49"/>
      <c r="L46" s="20"/>
      <c r="M46" s="17"/>
      <c r="N46" s="19"/>
      <c r="O46" s="19"/>
    </row>
    <row r="47" spans="1:15" x14ac:dyDescent="0.2">
      <c r="A47" s="30"/>
      <c r="B47" s="6"/>
      <c r="C47" s="17"/>
      <c r="D47" s="28"/>
      <c r="E47" s="28"/>
      <c r="F47" s="27"/>
      <c r="G47" s="6"/>
      <c r="H47" s="18"/>
      <c r="I47" s="18"/>
      <c r="J47" s="18"/>
      <c r="K47" s="49"/>
      <c r="L47" s="20"/>
      <c r="M47" s="17"/>
      <c r="N47" s="19"/>
      <c r="O47" s="19"/>
    </row>
    <row r="48" spans="1:15" x14ac:dyDescent="0.2">
      <c r="A48" s="30"/>
      <c r="B48" s="6"/>
      <c r="C48" s="17"/>
      <c r="D48" s="28"/>
      <c r="E48" s="28"/>
      <c r="F48" s="27"/>
      <c r="G48" s="6"/>
      <c r="H48" s="18"/>
      <c r="I48" s="18"/>
      <c r="J48" s="18"/>
      <c r="K48" s="49"/>
      <c r="L48" s="20"/>
      <c r="M48" s="17"/>
      <c r="N48" s="19"/>
      <c r="O48" s="19"/>
    </row>
    <row r="49" spans="1:15" x14ac:dyDescent="0.2">
      <c r="A49" s="30"/>
      <c r="B49" s="6"/>
      <c r="C49" s="17"/>
      <c r="D49" s="28"/>
      <c r="E49" s="28"/>
      <c r="F49" s="27"/>
      <c r="G49" s="6"/>
      <c r="H49" s="18"/>
      <c r="I49" s="18"/>
      <c r="J49" s="18"/>
      <c r="K49" s="49"/>
      <c r="L49" s="20"/>
      <c r="M49" s="17"/>
      <c r="N49" s="19"/>
      <c r="O49" s="19"/>
    </row>
    <row r="50" spans="1:15" x14ac:dyDescent="0.2">
      <c r="A50" s="30"/>
      <c r="B50" s="6"/>
      <c r="C50" s="17"/>
      <c r="D50" s="28"/>
      <c r="E50" s="28"/>
      <c r="F50" s="27"/>
      <c r="G50" s="6"/>
      <c r="H50" s="18"/>
      <c r="I50" s="18"/>
      <c r="J50" s="18"/>
      <c r="K50" s="49"/>
      <c r="L50" s="20"/>
      <c r="M50" s="17"/>
      <c r="N50" s="19"/>
      <c r="O50" s="19"/>
    </row>
    <row r="51" spans="1:15" x14ac:dyDescent="0.2">
      <c r="A51" s="30"/>
      <c r="B51" s="6"/>
      <c r="C51" s="17"/>
      <c r="D51" s="28"/>
      <c r="E51" s="28"/>
      <c r="F51" s="27"/>
      <c r="G51" s="6"/>
      <c r="H51" s="18"/>
      <c r="I51" s="18"/>
      <c r="J51" s="18"/>
      <c r="K51" s="49"/>
      <c r="L51" s="20"/>
      <c r="M51" s="17"/>
      <c r="N51" s="19"/>
      <c r="O51" s="19"/>
    </row>
    <row r="52" spans="1:15" x14ac:dyDescent="0.2">
      <c r="A52" s="30"/>
      <c r="B52" s="6"/>
      <c r="C52" s="17"/>
      <c r="D52" s="28"/>
      <c r="E52" s="28"/>
      <c r="F52" s="27"/>
      <c r="G52" s="6"/>
      <c r="H52" s="18"/>
      <c r="I52" s="18"/>
      <c r="J52" s="18"/>
      <c r="K52" s="49"/>
      <c r="L52" s="20"/>
      <c r="M52" s="17"/>
      <c r="N52" s="19"/>
      <c r="O52" s="19"/>
    </row>
    <row r="53" spans="1:15" x14ac:dyDescent="0.2">
      <c r="A53" s="30"/>
      <c r="B53" s="6"/>
      <c r="C53" s="17"/>
      <c r="D53" s="28"/>
      <c r="E53" s="28"/>
      <c r="F53" s="27"/>
      <c r="G53" s="6"/>
      <c r="H53" s="18"/>
      <c r="I53" s="18"/>
      <c r="J53" s="18"/>
      <c r="K53" s="49"/>
      <c r="L53" s="20"/>
      <c r="M53" s="17"/>
      <c r="N53" s="19"/>
      <c r="O53" s="19"/>
    </row>
    <row r="54" spans="1:15" x14ac:dyDescent="0.2">
      <c r="A54" s="30"/>
      <c r="B54" s="6"/>
      <c r="C54" s="17"/>
      <c r="D54" s="28"/>
      <c r="E54" s="28"/>
      <c r="F54" s="27"/>
      <c r="G54" s="6"/>
      <c r="H54" s="18"/>
      <c r="I54" s="18"/>
      <c r="J54" s="18"/>
      <c r="K54" s="49"/>
      <c r="L54" s="20"/>
      <c r="M54" s="17"/>
      <c r="N54" s="19"/>
      <c r="O54" s="19"/>
    </row>
    <row r="55" spans="1:15" x14ac:dyDescent="0.2">
      <c r="A55" s="30"/>
      <c r="B55" s="6"/>
      <c r="C55" s="17"/>
      <c r="D55" s="28"/>
      <c r="E55" s="28"/>
      <c r="F55" s="27"/>
      <c r="G55" s="6"/>
      <c r="H55" s="18"/>
      <c r="I55" s="18"/>
      <c r="J55" s="18"/>
      <c r="K55" s="49"/>
      <c r="L55" s="20"/>
      <c r="M55" s="17"/>
      <c r="N55" s="19"/>
      <c r="O55" s="19"/>
    </row>
    <row r="56" spans="1:15" x14ac:dyDescent="0.2">
      <c r="A56" s="30"/>
      <c r="B56" s="6"/>
      <c r="C56" s="17"/>
      <c r="D56" s="28"/>
      <c r="E56" s="28"/>
      <c r="F56" s="27"/>
      <c r="G56" s="6"/>
      <c r="H56" s="18"/>
      <c r="I56" s="18"/>
      <c r="J56" s="18"/>
      <c r="K56" s="49"/>
      <c r="L56" s="20"/>
      <c r="M56" s="17"/>
      <c r="N56" s="19"/>
      <c r="O56" s="19"/>
    </row>
    <row r="57" spans="1:15" x14ac:dyDescent="0.2">
      <c r="A57" s="30"/>
      <c r="B57" s="6"/>
      <c r="C57" s="17"/>
      <c r="D57" s="28"/>
      <c r="E57" s="28"/>
      <c r="F57" s="27"/>
      <c r="G57" s="6"/>
      <c r="H57" s="18"/>
      <c r="I57" s="18"/>
      <c r="J57" s="18"/>
      <c r="K57" s="49"/>
      <c r="L57" s="20"/>
      <c r="M57" s="17"/>
      <c r="N57" s="19"/>
      <c r="O57" s="19"/>
    </row>
    <row r="58" spans="1:15" x14ac:dyDescent="0.2">
      <c r="A58" s="30"/>
      <c r="B58" s="6"/>
      <c r="C58" s="17"/>
      <c r="D58" s="28"/>
      <c r="E58" s="28"/>
      <c r="F58" s="27"/>
      <c r="G58" s="6"/>
      <c r="H58" s="18"/>
      <c r="I58" s="18"/>
      <c r="J58" s="18"/>
      <c r="K58" s="49"/>
      <c r="L58" s="20"/>
      <c r="M58" s="17"/>
      <c r="N58" s="19"/>
      <c r="O58" s="19"/>
    </row>
    <row r="59" spans="1:15" x14ac:dyDescent="0.2">
      <c r="A59" s="30"/>
      <c r="B59" s="6"/>
      <c r="C59" s="17"/>
      <c r="D59" s="28"/>
      <c r="E59" s="28"/>
      <c r="F59" s="27"/>
      <c r="G59" s="6"/>
      <c r="H59" s="18"/>
      <c r="I59" s="18"/>
      <c r="J59" s="18"/>
      <c r="K59" s="49"/>
      <c r="L59" s="20"/>
      <c r="M59" s="17"/>
      <c r="N59" s="19"/>
      <c r="O59" s="19"/>
    </row>
    <row r="60" spans="1:15" x14ac:dyDescent="0.2">
      <c r="A60" s="30"/>
      <c r="B60" s="6"/>
      <c r="C60" s="17"/>
      <c r="D60" s="28"/>
      <c r="E60" s="28"/>
      <c r="F60" s="27"/>
      <c r="G60" s="6"/>
      <c r="H60" s="18"/>
      <c r="I60" s="18"/>
      <c r="J60" s="18"/>
      <c r="K60" s="49"/>
      <c r="L60" s="20"/>
      <c r="M60" s="17"/>
      <c r="N60" s="19"/>
      <c r="O60" s="19"/>
    </row>
    <row r="61" spans="1:15" x14ac:dyDescent="0.2">
      <c r="A61" s="30"/>
      <c r="B61" s="6"/>
      <c r="C61" s="17"/>
      <c r="D61" s="28"/>
      <c r="E61" s="28"/>
      <c r="F61" s="27"/>
      <c r="G61" s="6"/>
      <c r="H61" s="18"/>
      <c r="I61" s="18"/>
      <c r="J61" s="18"/>
      <c r="K61" s="49"/>
      <c r="L61" s="20"/>
      <c r="M61" s="17"/>
      <c r="N61" s="19"/>
      <c r="O61" s="19"/>
    </row>
    <row r="62" spans="1:15" x14ac:dyDescent="0.2">
      <c r="A62" s="30"/>
      <c r="B62" s="6"/>
      <c r="C62" s="17"/>
      <c r="D62" s="28"/>
      <c r="E62" s="28"/>
      <c r="F62" s="27"/>
      <c r="G62" s="6"/>
      <c r="H62" s="18"/>
      <c r="I62" s="18"/>
      <c r="J62" s="18"/>
      <c r="K62" s="49"/>
      <c r="L62" s="20"/>
      <c r="M62" s="17"/>
      <c r="N62" s="19"/>
      <c r="O62" s="19"/>
    </row>
    <row r="63" spans="1:15" x14ac:dyDescent="0.2">
      <c r="A63" s="30"/>
      <c r="B63" s="6"/>
      <c r="C63" s="17"/>
      <c r="D63" s="28"/>
      <c r="E63" s="28"/>
      <c r="F63" s="27"/>
      <c r="G63" s="6"/>
      <c r="H63" s="18"/>
      <c r="I63" s="18"/>
      <c r="J63" s="18"/>
      <c r="K63" s="49"/>
      <c r="L63" s="20"/>
      <c r="M63" s="17"/>
      <c r="N63" s="19"/>
      <c r="O63" s="19"/>
    </row>
    <row r="64" spans="1:15" x14ac:dyDescent="0.2">
      <c r="A64" s="30"/>
      <c r="B64" s="6"/>
      <c r="C64" s="17"/>
      <c r="D64" s="28"/>
      <c r="E64" s="28"/>
      <c r="F64" s="27"/>
      <c r="G64" s="6"/>
      <c r="H64" s="18"/>
      <c r="I64" s="18"/>
      <c r="J64" s="18"/>
      <c r="K64" s="49"/>
      <c r="L64" s="20"/>
      <c r="M64" s="17"/>
      <c r="N64" s="19"/>
      <c r="O64" s="19"/>
    </row>
    <row r="65" spans="1:15" x14ac:dyDescent="0.2">
      <c r="A65" s="30"/>
      <c r="B65" s="6"/>
      <c r="C65" s="17"/>
      <c r="D65" s="28"/>
      <c r="E65" s="28"/>
      <c r="F65" s="27"/>
      <c r="G65" s="6"/>
      <c r="H65" s="18"/>
      <c r="I65" s="18"/>
      <c r="J65" s="18"/>
      <c r="K65" s="49"/>
      <c r="L65" s="20"/>
      <c r="M65" s="17"/>
      <c r="N65" s="19"/>
      <c r="O65" s="19"/>
    </row>
    <row r="66" spans="1:15" x14ac:dyDescent="0.2">
      <c r="A66" s="30"/>
      <c r="B66" s="6"/>
      <c r="C66" s="17"/>
      <c r="D66" s="28"/>
      <c r="E66" s="28"/>
      <c r="F66" s="27"/>
      <c r="G66" s="6"/>
      <c r="H66" s="18"/>
      <c r="I66" s="18"/>
      <c r="J66" s="18"/>
      <c r="K66" s="49"/>
      <c r="L66" s="20"/>
      <c r="M66" s="17"/>
      <c r="N66" s="19"/>
      <c r="O66" s="19"/>
    </row>
    <row r="67" spans="1:15" x14ac:dyDescent="0.2">
      <c r="A67" s="30"/>
      <c r="B67" s="6"/>
      <c r="C67" s="17"/>
      <c r="D67" s="28"/>
      <c r="E67" s="28"/>
      <c r="F67" s="27"/>
      <c r="G67" s="6"/>
      <c r="H67" s="18"/>
      <c r="I67" s="18"/>
      <c r="J67" s="18"/>
      <c r="K67" s="49"/>
      <c r="L67" s="20"/>
      <c r="M67" s="17"/>
      <c r="N67" s="19"/>
      <c r="O67" s="19"/>
    </row>
    <row r="68" spans="1:15" x14ac:dyDescent="0.2">
      <c r="A68" s="30"/>
      <c r="B68" s="6"/>
      <c r="C68" s="17"/>
      <c r="D68" s="28"/>
      <c r="E68" s="28"/>
      <c r="F68" s="27"/>
      <c r="G68" s="6"/>
      <c r="H68" s="18"/>
      <c r="I68" s="18"/>
      <c r="J68" s="18"/>
      <c r="K68" s="49"/>
      <c r="L68" s="20"/>
      <c r="M68" s="17"/>
      <c r="N68" s="19"/>
      <c r="O68" s="19"/>
    </row>
    <row r="69" spans="1:15" x14ac:dyDescent="0.2">
      <c r="A69" s="30"/>
      <c r="B69" s="6"/>
      <c r="C69" s="17"/>
      <c r="D69" s="28"/>
      <c r="E69" s="28"/>
      <c r="F69" s="27"/>
      <c r="G69" s="6"/>
      <c r="H69" s="18"/>
      <c r="I69" s="18"/>
      <c r="J69" s="18"/>
      <c r="K69" s="49"/>
      <c r="L69" s="20"/>
      <c r="M69" s="17"/>
      <c r="N69" s="19"/>
      <c r="O69" s="19"/>
    </row>
    <row r="70" spans="1:15" x14ac:dyDescent="0.2">
      <c r="A70" s="30"/>
      <c r="B70" s="6"/>
      <c r="C70" s="17"/>
      <c r="D70" s="28"/>
      <c r="E70" s="28"/>
      <c r="F70" s="27"/>
      <c r="G70" s="6"/>
      <c r="H70" s="18"/>
      <c r="I70" s="18"/>
      <c r="J70" s="18"/>
      <c r="K70" s="49"/>
      <c r="L70" s="20"/>
      <c r="M70" s="17"/>
      <c r="N70" s="19"/>
      <c r="O70" s="19"/>
    </row>
    <row r="71" spans="1:15" x14ac:dyDescent="0.2">
      <c r="A71" s="30"/>
      <c r="B71" s="6"/>
      <c r="C71" s="17"/>
      <c r="D71" s="28"/>
      <c r="E71" s="28"/>
      <c r="F71" s="27"/>
      <c r="G71" s="6"/>
      <c r="H71" s="18"/>
      <c r="I71" s="18"/>
      <c r="J71" s="18"/>
      <c r="K71" s="49"/>
      <c r="L71" s="20"/>
      <c r="M71" s="17"/>
      <c r="N71" s="19"/>
      <c r="O71" s="19"/>
    </row>
    <row r="72" spans="1:15" x14ac:dyDescent="0.2">
      <c r="A72" s="30"/>
      <c r="B72" s="6"/>
      <c r="C72" s="17"/>
      <c r="D72" s="28"/>
      <c r="E72" s="28"/>
      <c r="F72" s="27"/>
      <c r="G72" s="6"/>
      <c r="H72" s="18"/>
      <c r="I72" s="18"/>
      <c r="J72" s="18"/>
      <c r="K72" s="49"/>
      <c r="L72" s="20"/>
      <c r="M72" s="17"/>
      <c r="N72" s="19"/>
      <c r="O72" s="19"/>
    </row>
    <row r="73" spans="1:15" x14ac:dyDescent="0.2">
      <c r="A73" s="30"/>
      <c r="B73" s="6"/>
      <c r="C73" s="17"/>
      <c r="D73" s="28"/>
      <c r="E73" s="28"/>
      <c r="F73" s="27"/>
      <c r="G73" s="6"/>
      <c r="H73" s="18"/>
      <c r="I73" s="18"/>
      <c r="J73" s="18"/>
      <c r="K73" s="49"/>
      <c r="L73" s="20"/>
      <c r="M73" s="17"/>
      <c r="N73" s="19"/>
      <c r="O73" s="19"/>
    </row>
    <row r="74" spans="1:15" x14ac:dyDescent="0.2">
      <c r="A74" s="30"/>
      <c r="B74" s="6"/>
      <c r="C74" s="17"/>
      <c r="D74" s="28"/>
      <c r="E74" s="28"/>
      <c r="F74" s="27"/>
      <c r="G74" s="6"/>
      <c r="H74" s="18"/>
      <c r="I74" s="18"/>
      <c r="J74" s="18"/>
      <c r="K74" s="49"/>
      <c r="L74" s="20"/>
      <c r="M74" s="17"/>
      <c r="N74" s="19"/>
      <c r="O74" s="19"/>
    </row>
    <row r="75" spans="1:15" x14ac:dyDescent="0.2">
      <c r="A75" s="30"/>
      <c r="B75" s="6"/>
      <c r="C75" s="17"/>
      <c r="D75" s="28"/>
      <c r="E75" s="28"/>
      <c r="F75" s="27"/>
      <c r="G75" s="6"/>
      <c r="H75" s="18"/>
      <c r="I75" s="18"/>
      <c r="J75" s="18"/>
      <c r="K75" s="49"/>
      <c r="L75" s="20"/>
      <c r="M75" s="17"/>
      <c r="N75" s="19"/>
      <c r="O75" s="19"/>
    </row>
    <row r="76" spans="1:15" x14ac:dyDescent="0.2">
      <c r="A76" s="30"/>
      <c r="B76" s="6"/>
      <c r="C76" s="17"/>
      <c r="D76" s="28"/>
      <c r="E76" s="28"/>
      <c r="F76" s="27"/>
      <c r="G76" s="6"/>
      <c r="H76" s="18"/>
      <c r="I76" s="18"/>
      <c r="J76" s="18"/>
      <c r="K76" s="49"/>
      <c r="L76" s="20"/>
      <c r="M76" s="17"/>
      <c r="N76" s="19"/>
      <c r="O76" s="19"/>
    </row>
    <row r="77" spans="1:15" x14ac:dyDescent="0.2">
      <c r="A77" s="30"/>
      <c r="B77" s="6"/>
      <c r="C77" s="17"/>
      <c r="D77" s="28"/>
      <c r="E77" s="28"/>
      <c r="F77" s="27"/>
      <c r="G77" s="6"/>
      <c r="H77" s="18"/>
      <c r="I77" s="18"/>
      <c r="J77" s="18"/>
      <c r="K77" s="49"/>
      <c r="L77" s="20"/>
      <c r="M77" s="17"/>
      <c r="N77" s="19"/>
      <c r="O77" s="19"/>
    </row>
    <row r="78" spans="1:15" x14ac:dyDescent="0.2">
      <c r="A78" s="30"/>
      <c r="B78" s="6"/>
      <c r="C78" s="17"/>
      <c r="D78" s="28"/>
      <c r="E78" s="28"/>
      <c r="F78" s="27"/>
      <c r="G78" s="6"/>
      <c r="H78" s="18"/>
      <c r="I78" s="18"/>
      <c r="J78" s="18"/>
      <c r="K78" s="49"/>
      <c r="L78" s="20"/>
      <c r="M78" s="17"/>
      <c r="N78" s="19"/>
      <c r="O78" s="19"/>
    </row>
    <row r="79" spans="1:15" x14ac:dyDescent="0.2">
      <c r="A79" s="30"/>
      <c r="B79" s="6"/>
      <c r="C79" s="17"/>
      <c r="D79" s="28"/>
      <c r="E79" s="28"/>
      <c r="F79" s="27"/>
      <c r="G79" s="6"/>
      <c r="H79" s="18"/>
      <c r="I79" s="18"/>
      <c r="J79" s="18"/>
      <c r="K79" s="49"/>
      <c r="L79" s="20"/>
      <c r="M79" s="17"/>
      <c r="N79" s="19"/>
      <c r="O79" s="19"/>
    </row>
    <row r="80" spans="1:15" x14ac:dyDescent="0.2">
      <c r="A80" s="30"/>
      <c r="B80" s="6"/>
      <c r="C80" s="17"/>
      <c r="D80" s="28"/>
      <c r="E80" s="28"/>
      <c r="F80" s="27"/>
      <c r="G80" s="6"/>
      <c r="H80" s="18"/>
      <c r="I80" s="18"/>
      <c r="J80" s="18"/>
      <c r="K80" s="49"/>
      <c r="L80" s="20"/>
      <c r="M80" s="17"/>
      <c r="N80" s="19"/>
      <c r="O80" s="19"/>
    </row>
    <row r="81" spans="1:15" x14ac:dyDescent="0.2">
      <c r="A81" s="30"/>
      <c r="B81" s="6"/>
      <c r="C81" s="17"/>
      <c r="D81" s="28"/>
      <c r="E81" s="28"/>
      <c r="F81" s="27"/>
      <c r="G81" s="6"/>
      <c r="H81" s="18"/>
      <c r="I81" s="18"/>
      <c r="J81" s="18"/>
      <c r="K81" s="49"/>
      <c r="L81" s="20"/>
      <c r="M81" s="17"/>
      <c r="N81" s="19"/>
      <c r="O81" s="19"/>
    </row>
    <row r="82" spans="1:15" x14ac:dyDescent="0.2">
      <c r="A82" s="30"/>
      <c r="B82" s="6"/>
      <c r="C82" s="17"/>
      <c r="D82" s="28"/>
      <c r="E82" s="28"/>
      <c r="F82" s="27"/>
      <c r="G82" s="6"/>
      <c r="H82" s="18"/>
      <c r="I82" s="18"/>
      <c r="J82" s="18"/>
      <c r="K82" s="49"/>
      <c r="L82" s="20"/>
      <c r="M82" s="17"/>
      <c r="N82" s="19"/>
      <c r="O82" s="19"/>
    </row>
    <row r="83" spans="1:15" x14ac:dyDescent="0.2">
      <c r="A83" s="30"/>
      <c r="B83" s="6"/>
      <c r="C83" s="17"/>
      <c r="D83" s="28"/>
      <c r="E83" s="28"/>
      <c r="F83" s="27"/>
      <c r="G83" s="6"/>
      <c r="H83" s="18"/>
      <c r="I83" s="18"/>
      <c r="J83" s="18"/>
      <c r="K83" s="49"/>
      <c r="L83" s="20"/>
      <c r="M83" s="17"/>
      <c r="N83" s="19"/>
      <c r="O83" s="19"/>
    </row>
    <row r="84" spans="1:15" x14ac:dyDescent="0.2">
      <c r="A84" s="30"/>
      <c r="B84" s="6"/>
      <c r="C84" s="17"/>
      <c r="D84" s="28"/>
      <c r="E84" s="28"/>
      <c r="F84" s="27"/>
      <c r="G84" s="6"/>
      <c r="H84" s="18"/>
      <c r="I84" s="18"/>
      <c r="J84" s="18"/>
      <c r="K84" s="49"/>
      <c r="L84" s="20"/>
      <c r="M84" s="17"/>
      <c r="N84" s="19"/>
      <c r="O84" s="19"/>
    </row>
    <row r="85" spans="1:15" x14ac:dyDescent="0.2">
      <c r="A85" s="30"/>
      <c r="B85" s="6"/>
      <c r="C85" s="17"/>
      <c r="D85" s="28"/>
      <c r="E85" s="28"/>
      <c r="F85" s="27"/>
      <c r="G85" s="6"/>
      <c r="H85" s="18"/>
      <c r="I85" s="18"/>
      <c r="J85" s="18"/>
      <c r="K85" s="49"/>
      <c r="L85" s="20"/>
      <c r="M85" s="17"/>
      <c r="N85" s="19"/>
      <c r="O85" s="19"/>
    </row>
    <row r="86" spans="1:15" x14ac:dyDescent="0.2">
      <c r="A86" s="30"/>
      <c r="B86" s="6"/>
      <c r="C86" s="17"/>
      <c r="D86" s="28"/>
      <c r="E86" s="28"/>
      <c r="F86" s="27"/>
      <c r="G86" s="6"/>
      <c r="H86" s="18"/>
      <c r="I86" s="18"/>
      <c r="J86" s="18"/>
      <c r="K86" s="49"/>
      <c r="L86" s="20"/>
      <c r="M86" s="17"/>
      <c r="N86" s="19"/>
      <c r="O86" s="19"/>
    </row>
    <row r="87" spans="1:15" x14ac:dyDescent="0.2">
      <c r="A87" s="30"/>
      <c r="B87" s="6"/>
      <c r="C87" s="17"/>
      <c r="D87" s="28"/>
      <c r="E87" s="28"/>
      <c r="F87" s="27"/>
      <c r="G87" s="6"/>
      <c r="H87" s="18"/>
      <c r="I87" s="18"/>
      <c r="J87" s="18"/>
      <c r="K87" s="49"/>
      <c r="L87" s="20"/>
      <c r="M87" s="17"/>
      <c r="N87" s="19"/>
      <c r="O87" s="19"/>
    </row>
    <row r="88" spans="1:15" x14ac:dyDescent="0.2">
      <c r="A88" s="30"/>
      <c r="B88" s="6"/>
      <c r="C88" s="17"/>
      <c r="D88" s="28"/>
      <c r="E88" s="28"/>
      <c r="F88" s="27"/>
      <c r="G88" s="6"/>
      <c r="H88" s="18"/>
      <c r="I88" s="18"/>
      <c r="J88" s="18"/>
      <c r="K88" s="49"/>
      <c r="L88" s="20"/>
      <c r="M88" s="17"/>
      <c r="N88" s="19"/>
      <c r="O88" s="19"/>
    </row>
    <row r="89" spans="1:15" x14ac:dyDescent="0.2">
      <c r="A89" s="30"/>
      <c r="B89" s="6"/>
      <c r="C89" s="17"/>
      <c r="D89" s="28"/>
      <c r="E89" s="28"/>
      <c r="F89" s="27"/>
      <c r="G89" s="6"/>
      <c r="H89" s="18"/>
      <c r="I89" s="18"/>
      <c r="J89" s="18"/>
      <c r="K89" s="49"/>
      <c r="L89" s="20"/>
      <c r="M89" s="17"/>
      <c r="N89" s="19"/>
      <c r="O89" s="19"/>
    </row>
    <row r="90" spans="1:15" x14ac:dyDescent="0.2">
      <c r="A90" s="30"/>
      <c r="B90" s="6"/>
      <c r="C90" s="17"/>
      <c r="D90" s="28"/>
      <c r="E90" s="28"/>
      <c r="F90" s="27"/>
      <c r="G90" s="6"/>
      <c r="H90" s="18"/>
      <c r="I90" s="18"/>
      <c r="J90" s="18"/>
      <c r="K90" s="49"/>
      <c r="L90" s="20"/>
      <c r="M90" s="17"/>
      <c r="N90" s="19"/>
      <c r="O90" s="19"/>
    </row>
    <row r="91" spans="1:15" x14ac:dyDescent="0.2">
      <c r="A91" s="30"/>
      <c r="B91" s="6"/>
      <c r="C91" s="17"/>
      <c r="D91" s="28"/>
      <c r="E91" s="28"/>
      <c r="F91" s="27"/>
      <c r="G91" s="6"/>
      <c r="H91" s="18"/>
      <c r="I91" s="18"/>
      <c r="J91" s="18"/>
      <c r="K91" s="49"/>
      <c r="L91" s="20"/>
      <c r="M91" s="17"/>
      <c r="N91" s="19"/>
      <c r="O91" s="19"/>
    </row>
    <row r="92" spans="1:15" x14ac:dyDescent="0.2">
      <c r="A92" s="30"/>
      <c r="B92" s="6"/>
      <c r="C92" s="17"/>
      <c r="D92" s="28"/>
      <c r="E92" s="28"/>
      <c r="F92" s="27"/>
      <c r="G92" s="6"/>
      <c r="H92" s="18"/>
      <c r="I92" s="18"/>
      <c r="J92" s="18"/>
      <c r="K92" s="49"/>
      <c r="L92" s="20"/>
      <c r="M92" s="17"/>
      <c r="N92" s="19"/>
      <c r="O92" s="19"/>
    </row>
    <row r="93" spans="1:15" x14ac:dyDescent="0.2">
      <c r="A93" s="30"/>
      <c r="B93" s="6"/>
      <c r="C93" s="17"/>
      <c r="D93" s="28"/>
      <c r="E93" s="28"/>
      <c r="F93" s="27"/>
      <c r="G93" s="6"/>
      <c r="H93" s="18"/>
      <c r="I93" s="18"/>
      <c r="J93" s="18"/>
      <c r="K93" s="49"/>
      <c r="L93" s="20"/>
      <c r="M93" s="17"/>
      <c r="N93" s="19"/>
      <c r="O93" s="19"/>
    </row>
    <row r="94" spans="1:15" x14ac:dyDescent="0.2">
      <c r="A94" s="30"/>
      <c r="B94" s="6"/>
      <c r="C94" s="17"/>
      <c r="D94" s="28"/>
      <c r="E94" s="28"/>
      <c r="F94" s="27"/>
      <c r="G94" s="6"/>
      <c r="H94" s="18"/>
      <c r="I94" s="18"/>
      <c r="J94" s="18"/>
      <c r="K94" s="49"/>
      <c r="L94" s="20"/>
      <c r="M94" s="17"/>
      <c r="N94" s="19"/>
      <c r="O94" s="19"/>
    </row>
    <row r="95" spans="1:15" x14ac:dyDescent="0.2">
      <c r="A95" s="30"/>
      <c r="B95" s="6"/>
      <c r="C95" s="17"/>
      <c r="D95" s="28"/>
      <c r="E95" s="28"/>
      <c r="F95" s="27"/>
      <c r="G95" s="6"/>
      <c r="H95" s="18"/>
      <c r="I95" s="18"/>
      <c r="J95" s="18"/>
      <c r="K95" s="49"/>
      <c r="L95" s="20"/>
      <c r="M95" s="17"/>
      <c r="N95" s="19"/>
      <c r="O95" s="19"/>
    </row>
    <row r="96" spans="1:15" x14ac:dyDescent="0.2">
      <c r="A96" s="30"/>
      <c r="B96" s="6"/>
      <c r="C96" s="17"/>
      <c r="D96" s="28"/>
      <c r="E96" s="28"/>
      <c r="F96" s="27"/>
      <c r="G96" s="6"/>
      <c r="H96" s="18"/>
      <c r="I96" s="18"/>
      <c r="J96" s="18"/>
      <c r="K96" s="49"/>
      <c r="L96" s="20"/>
      <c r="M96" s="17"/>
      <c r="N96" s="19"/>
      <c r="O96" s="19"/>
    </row>
    <row r="97" spans="1:15" x14ac:dyDescent="0.2">
      <c r="A97" s="30"/>
      <c r="B97" s="6"/>
      <c r="C97" s="17"/>
      <c r="D97" s="28"/>
      <c r="E97" s="28"/>
      <c r="F97" s="27"/>
      <c r="G97" s="6"/>
      <c r="H97" s="18"/>
      <c r="I97" s="18"/>
      <c r="J97" s="18"/>
      <c r="K97" s="49"/>
      <c r="L97" s="20"/>
      <c r="M97" s="17"/>
      <c r="N97" s="19"/>
      <c r="O97" s="19"/>
    </row>
    <row r="98" spans="1:15" x14ac:dyDescent="0.2">
      <c r="A98" s="30"/>
      <c r="B98" s="6"/>
      <c r="C98" s="17"/>
      <c r="D98" s="28"/>
      <c r="E98" s="28"/>
      <c r="F98" s="27"/>
      <c r="G98" s="6"/>
      <c r="H98" s="18"/>
      <c r="I98" s="18"/>
      <c r="J98" s="18"/>
      <c r="K98" s="49"/>
      <c r="L98" s="20"/>
      <c r="M98" s="17"/>
      <c r="N98" s="19"/>
      <c r="O98" s="19"/>
    </row>
    <row r="99" spans="1:15" x14ac:dyDescent="0.2">
      <c r="A99" s="30"/>
      <c r="B99" s="6"/>
      <c r="C99" s="17"/>
      <c r="D99" s="28"/>
      <c r="E99" s="28"/>
      <c r="F99" s="27"/>
      <c r="G99" s="6"/>
      <c r="H99" s="18"/>
      <c r="I99" s="18"/>
      <c r="J99" s="18"/>
      <c r="K99" s="49"/>
      <c r="L99" s="20"/>
      <c r="M99" s="17"/>
      <c r="N99" s="19"/>
      <c r="O99" s="19"/>
    </row>
    <row r="100" spans="1:15" x14ac:dyDescent="0.2">
      <c r="A100" s="30"/>
      <c r="B100" s="6"/>
      <c r="C100" s="17"/>
      <c r="D100" s="28"/>
      <c r="E100" s="28"/>
      <c r="F100" s="27"/>
      <c r="G100" s="6"/>
      <c r="H100" s="18"/>
      <c r="I100" s="18"/>
      <c r="J100" s="18"/>
      <c r="K100" s="49"/>
      <c r="L100" s="20"/>
      <c r="M100" s="17"/>
      <c r="N100" s="19"/>
      <c r="O100" s="19"/>
    </row>
    <row r="101" spans="1:15" x14ac:dyDescent="0.2">
      <c r="A101" s="30"/>
      <c r="B101" s="6"/>
      <c r="C101" s="17"/>
      <c r="D101" s="28"/>
      <c r="E101" s="28"/>
      <c r="F101" s="27"/>
      <c r="G101" s="6"/>
      <c r="H101" s="18"/>
      <c r="I101" s="18"/>
      <c r="J101" s="18"/>
      <c r="K101" s="49"/>
      <c r="L101" s="20"/>
      <c r="M101" s="17"/>
      <c r="N101" s="19"/>
      <c r="O101" s="19"/>
    </row>
    <row r="102" spans="1:15" x14ac:dyDescent="0.2">
      <c r="A102" s="30"/>
      <c r="B102" s="6"/>
      <c r="C102" s="17"/>
      <c r="D102" s="28"/>
      <c r="E102" s="28"/>
      <c r="F102" s="27"/>
      <c r="G102" s="6"/>
      <c r="H102" s="18"/>
      <c r="I102" s="18"/>
      <c r="J102" s="18"/>
      <c r="K102" s="49"/>
      <c r="L102" s="20"/>
      <c r="M102" s="17"/>
      <c r="N102" s="19"/>
      <c r="O102" s="19"/>
    </row>
    <row r="103" spans="1:15" x14ac:dyDescent="0.2">
      <c r="A103" s="30"/>
      <c r="B103" s="6"/>
      <c r="C103" s="17"/>
      <c r="D103" s="28"/>
      <c r="E103" s="28"/>
      <c r="F103" s="27"/>
      <c r="G103" s="6"/>
      <c r="H103" s="18"/>
      <c r="I103" s="18"/>
      <c r="J103" s="18"/>
      <c r="K103" s="49"/>
      <c r="L103" s="20"/>
      <c r="M103" s="17"/>
      <c r="N103" s="19"/>
      <c r="O103" s="19"/>
    </row>
    <row r="104" spans="1:15" x14ac:dyDescent="0.2">
      <c r="A104" s="30"/>
      <c r="B104" s="6"/>
      <c r="C104" s="17"/>
      <c r="D104" s="28"/>
      <c r="E104" s="28"/>
      <c r="F104" s="27"/>
      <c r="G104" s="6"/>
      <c r="H104" s="18"/>
      <c r="I104" s="18"/>
      <c r="J104" s="18"/>
      <c r="K104" s="49"/>
      <c r="L104" s="20"/>
      <c r="M104" s="17"/>
      <c r="N104" s="19"/>
      <c r="O104" s="19"/>
    </row>
    <row r="105" spans="1:15" x14ac:dyDescent="0.2">
      <c r="A105" s="30"/>
      <c r="B105" s="6"/>
      <c r="C105" s="17"/>
      <c r="D105" s="28"/>
      <c r="E105" s="28"/>
      <c r="F105" s="27"/>
      <c r="G105" s="6"/>
      <c r="H105" s="18"/>
      <c r="I105" s="18"/>
      <c r="J105" s="18"/>
      <c r="K105" s="49"/>
      <c r="L105" s="20"/>
      <c r="M105" s="17"/>
      <c r="N105" s="19"/>
      <c r="O105" s="19"/>
    </row>
    <row r="106" spans="1:15" x14ac:dyDescent="0.2">
      <c r="A106" s="30"/>
      <c r="B106" s="6"/>
      <c r="C106" s="17"/>
      <c r="D106" s="28"/>
      <c r="E106" s="28"/>
      <c r="F106" s="27"/>
      <c r="G106" s="6"/>
      <c r="H106" s="18"/>
      <c r="I106" s="18"/>
      <c r="J106" s="18"/>
      <c r="K106" s="49"/>
      <c r="L106" s="20"/>
      <c r="M106" s="17"/>
      <c r="N106" s="19"/>
      <c r="O106" s="19"/>
    </row>
    <row r="107" spans="1:15" x14ac:dyDescent="0.2">
      <c r="A107" s="30"/>
      <c r="B107" s="6"/>
      <c r="C107" s="17"/>
      <c r="D107" s="28"/>
      <c r="E107" s="28"/>
      <c r="F107" s="27"/>
      <c r="G107" s="6"/>
      <c r="H107" s="18"/>
      <c r="I107" s="18"/>
      <c r="J107" s="18"/>
      <c r="K107" s="49"/>
      <c r="L107" s="20"/>
      <c r="M107" s="17"/>
      <c r="N107" s="19"/>
      <c r="O107" s="19"/>
    </row>
    <row r="108" spans="1:15" x14ac:dyDescent="0.2">
      <c r="A108" s="30"/>
      <c r="B108" s="6"/>
      <c r="C108" s="17"/>
      <c r="D108" s="28"/>
      <c r="E108" s="28"/>
      <c r="F108" s="27"/>
      <c r="G108" s="6"/>
      <c r="H108" s="18"/>
      <c r="I108" s="18"/>
      <c r="J108" s="18"/>
      <c r="K108" s="49"/>
      <c r="L108" s="20"/>
      <c r="M108" s="17"/>
      <c r="N108" s="19"/>
      <c r="O108" s="19"/>
    </row>
    <row r="109" spans="1:15" x14ac:dyDescent="0.2">
      <c r="A109" s="30"/>
      <c r="B109" s="6"/>
      <c r="C109" s="17"/>
      <c r="D109" s="28"/>
      <c r="E109" s="28"/>
      <c r="F109" s="27"/>
      <c r="G109" s="6"/>
      <c r="H109" s="18"/>
      <c r="I109" s="18"/>
      <c r="J109" s="18"/>
      <c r="K109" s="49"/>
      <c r="L109" s="20"/>
      <c r="M109" s="17"/>
      <c r="N109" s="19"/>
      <c r="O109" s="19"/>
    </row>
    <row r="110" spans="1:15" x14ac:dyDescent="0.2">
      <c r="A110" s="30"/>
      <c r="B110" s="6"/>
      <c r="C110" s="17"/>
      <c r="D110" s="28"/>
      <c r="E110" s="28"/>
      <c r="F110" s="27"/>
      <c r="G110" s="6"/>
      <c r="H110" s="18"/>
      <c r="I110" s="18"/>
      <c r="J110" s="18"/>
      <c r="K110" s="49"/>
      <c r="L110" s="20"/>
      <c r="M110" s="17"/>
      <c r="N110" s="19"/>
      <c r="O110" s="19"/>
    </row>
    <row r="111" spans="1:15" x14ac:dyDescent="0.2">
      <c r="A111" s="30"/>
      <c r="B111" s="6"/>
      <c r="C111" s="17"/>
      <c r="D111" s="28"/>
      <c r="E111" s="28"/>
      <c r="F111" s="27"/>
      <c r="G111" s="6"/>
      <c r="H111" s="18"/>
      <c r="I111" s="18"/>
      <c r="J111" s="18"/>
      <c r="K111" s="49"/>
      <c r="L111" s="20"/>
      <c r="M111" s="17"/>
      <c r="N111" s="19"/>
      <c r="O111" s="19"/>
    </row>
    <row r="112" spans="1:15" x14ac:dyDescent="0.2">
      <c r="A112" s="30"/>
      <c r="B112" s="6"/>
      <c r="C112" s="17"/>
      <c r="D112" s="28"/>
      <c r="E112" s="28"/>
      <c r="F112" s="27"/>
      <c r="G112" s="6"/>
      <c r="H112" s="18"/>
      <c r="I112" s="18"/>
      <c r="J112" s="18"/>
      <c r="K112" s="49"/>
      <c r="L112" s="20"/>
      <c r="M112" s="17"/>
      <c r="N112" s="19"/>
      <c r="O112" s="19"/>
    </row>
    <row r="113" spans="1:15" x14ac:dyDescent="0.2">
      <c r="A113" s="30"/>
      <c r="B113" s="6"/>
      <c r="C113" s="17"/>
      <c r="D113" s="28"/>
      <c r="E113" s="28"/>
      <c r="F113" s="27"/>
      <c r="G113" s="6"/>
      <c r="H113" s="18"/>
      <c r="I113" s="18"/>
      <c r="J113" s="18"/>
      <c r="K113" s="49"/>
      <c r="L113" s="20"/>
      <c r="M113" s="17"/>
      <c r="N113" s="19"/>
      <c r="O113" s="19"/>
    </row>
    <row r="114" spans="1:15" x14ac:dyDescent="0.2">
      <c r="A114" s="30"/>
      <c r="B114" s="6"/>
      <c r="C114" s="17"/>
      <c r="D114" s="28"/>
      <c r="E114" s="28"/>
      <c r="F114" s="27"/>
      <c r="G114" s="6"/>
      <c r="H114" s="18"/>
      <c r="I114" s="18"/>
      <c r="J114" s="18"/>
      <c r="K114" s="49"/>
      <c r="L114" s="20"/>
      <c r="M114" s="17"/>
      <c r="N114" s="19"/>
      <c r="O114" s="19"/>
    </row>
    <row r="115" spans="1:15" x14ac:dyDescent="0.2">
      <c r="A115" s="30"/>
      <c r="B115" s="6"/>
      <c r="C115" s="17"/>
      <c r="D115" s="28"/>
      <c r="E115" s="28"/>
      <c r="F115" s="27"/>
      <c r="G115" s="6"/>
      <c r="H115" s="18"/>
      <c r="I115" s="18"/>
      <c r="J115" s="18"/>
      <c r="K115" s="49"/>
      <c r="L115" s="20"/>
      <c r="M115" s="17"/>
      <c r="N115" s="19"/>
      <c r="O115" s="19"/>
    </row>
    <row r="116" spans="1:15" x14ac:dyDescent="0.2">
      <c r="A116" s="30"/>
      <c r="B116" s="6"/>
      <c r="C116" s="17"/>
      <c r="D116" s="28"/>
      <c r="E116" s="28"/>
      <c r="F116" s="27"/>
      <c r="G116" s="6"/>
      <c r="H116" s="18"/>
      <c r="I116" s="18"/>
      <c r="J116" s="18"/>
      <c r="K116" s="49"/>
      <c r="L116" s="20"/>
      <c r="M116" s="17"/>
      <c r="N116" s="19"/>
      <c r="O116" s="19"/>
    </row>
    <row r="117" spans="1:15" x14ac:dyDescent="0.2">
      <c r="A117" s="30"/>
      <c r="B117" s="6"/>
      <c r="C117" s="17"/>
      <c r="D117" s="28"/>
      <c r="E117" s="28"/>
      <c r="F117" s="27"/>
      <c r="G117" s="6"/>
      <c r="H117" s="18"/>
      <c r="I117" s="18"/>
      <c r="J117" s="18"/>
      <c r="K117" s="49"/>
      <c r="L117" s="20"/>
      <c r="M117" s="17"/>
      <c r="N117" s="19"/>
      <c r="O117" s="19"/>
    </row>
    <row r="118" spans="1:15" x14ac:dyDescent="0.2">
      <c r="A118" s="30"/>
      <c r="B118" s="6"/>
      <c r="C118" s="17"/>
      <c r="D118" s="28"/>
      <c r="E118" s="28"/>
      <c r="F118" s="27"/>
      <c r="G118" s="6"/>
      <c r="H118" s="18"/>
      <c r="I118" s="18"/>
      <c r="J118" s="18"/>
      <c r="K118" s="49"/>
      <c r="L118" s="20"/>
      <c r="M118" s="17"/>
      <c r="N118" s="19"/>
      <c r="O118" s="19"/>
    </row>
    <row r="119" spans="1:15" x14ac:dyDescent="0.2">
      <c r="A119" s="30"/>
      <c r="B119" s="6"/>
      <c r="C119" s="17"/>
      <c r="D119" s="28"/>
      <c r="E119" s="28"/>
      <c r="F119" s="27"/>
      <c r="G119" s="6"/>
      <c r="H119" s="18"/>
      <c r="I119" s="18"/>
      <c r="J119" s="18"/>
      <c r="K119" s="49"/>
      <c r="L119" s="20"/>
      <c r="M119" s="17"/>
      <c r="N119" s="19"/>
      <c r="O119" s="19"/>
    </row>
    <row r="120" spans="1:15" x14ac:dyDescent="0.2">
      <c r="A120" s="30"/>
      <c r="B120" s="6"/>
      <c r="C120" s="17"/>
      <c r="D120" s="28"/>
      <c r="E120" s="28"/>
      <c r="F120" s="27"/>
      <c r="G120" s="6"/>
      <c r="H120" s="18"/>
      <c r="I120" s="18"/>
      <c r="J120" s="18"/>
      <c r="K120" s="49"/>
      <c r="L120" s="20"/>
      <c r="M120" s="17"/>
      <c r="N120" s="19"/>
      <c r="O120" s="19"/>
    </row>
    <row r="121" spans="1:15" x14ac:dyDescent="0.2">
      <c r="A121" s="30"/>
      <c r="B121" s="6"/>
      <c r="C121" s="17"/>
      <c r="D121" s="28"/>
      <c r="E121" s="28"/>
      <c r="F121" s="27"/>
      <c r="G121" s="6"/>
      <c r="H121" s="18"/>
      <c r="I121" s="18"/>
      <c r="J121" s="18"/>
      <c r="K121" s="49"/>
      <c r="L121" s="20"/>
      <c r="M121" s="17"/>
      <c r="N121" s="19"/>
      <c r="O121" s="19"/>
    </row>
    <row r="122" spans="1:15" x14ac:dyDescent="0.2">
      <c r="A122" s="30"/>
      <c r="B122" s="6"/>
      <c r="C122" s="17"/>
      <c r="D122" s="28"/>
      <c r="E122" s="28"/>
      <c r="F122" s="27"/>
      <c r="G122" s="6"/>
      <c r="H122" s="18"/>
      <c r="I122" s="18"/>
      <c r="J122" s="18"/>
      <c r="K122" s="49"/>
      <c r="L122" s="20"/>
      <c r="M122" s="17"/>
      <c r="N122" s="19"/>
      <c r="O122" s="19"/>
    </row>
    <row r="123" spans="1:15" x14ac:dyDescent="0.2">
      <c r="A123" s="30"/>
      <c r="B123" s="6"/>
      <c r="C123" s="17"/>
      <c r="D123" s="28"/>
      <c r="E123" s="28"/>
      <c r="F123" s="27"/>
      <c r="G123" s="6"/>
      <c r="H123" s="18"/>
      <c r="I123" s="18"/>
      <c r="J123" s="18"/>
      <c r="K123" s="49"/>
      <c r="L123" s="20"/>
      <c r="M123" s="17"/>
      <c r="N123" s="19"/>
      <c r="O123" s="19"/>
    </row>
    <row r="124" spans="1:15" x14ac:dyDescent="0.2">
      <c r="A124" s="30"/>
      <c r="B124" s="6"/>
      <c r="C124" s="17"/>
      <c r="D124" s="28"/>
      <c r="E124" s="28"/>
      <c r="F124" s="27"/>
      <c r="G124" s="6"/>
      <c r="H124" s="18"/>
      <c r="I124" s="18"/>
      <c r="J124" s="18"/>
      <c r="K124" s="49"/>
      <c r="L124" s="20"/>
      <c r="M124" s="17"/>
      <c r="N124" s="19"/>
      <c r="O124" s="19"/>
    </row>
    <row r="125" spans="1:15" x14ac:dyDescent="0.2">
      <c r="A125" s="30"/>
      <c r="B125" s="6"/>
      <c r="C125" s="17"/>
      <c r="D125" s="28"/>
      <c r="E125" s="28"/>
      <c r="F125" s="27"/>
      <c r="G125" s="6"/>
      <c r="H125" s="18"/>
      <c r="I125" s="18"/>
      <c r="J125" s="18"/>
      <c r="K125" s="49"/>
      <c r="L125" s="20"/>
      <c r="M125" s="17"/>
      <c r="N125" s="19"/>
      <c r="O125" s="19"/>
    </row>
    <row r="126" spans="1:15" x14ac:dyDescent="0.2">
      <c r="A126" s="30"/>
      <c r="B126" s="6"/>
      <c r="C126" s="17"/>
      <c r="D126" s="28"/>
      <c r="E126" s="28"/>
      <c r="F126" s="27"/>
      <c r="G126" s="6"/>
      <c r="H126" s="18"/>
      <c r="I126" s="18"/>
      <c r="J126" s="18"/>
      <c r="K126" s="49"/>
      <c r="L126" s="20"/>
      <c r="M126" s="17"/>
      <c r="N126" s="19"/>
      <c r="O126" s="19"/>
    </row>
    <row r="127" spans="1:15" x14ac:dyDescent="0.2">
      <c r="A127" s="30"/>
      <c r="B127" s="6"/>
      <c r="C127" s="17"/>
      <c r="D127" s="28"/>
      <c r="E127" s="28"/>
      <c r="F127" s="27"/>
      <c r="G127" s="6"/>
      <c r="H127" s="18"/>
      <c r="I127" s="18"/>
      <c r="J127" s="18"/>
      <c r="K127" s="49"/>
      <c r="L127" s="20"/>
      <c r="M127" s="17"/>
      <c r="N127" s="19"/>
      <c r="O127" s="19"/>
    </row>
    <row r="128" spans="1:15" x14ac:dyDescent="0.2">
      <c r="A128" s="30"/>
      <c r="B128" s="6"/>
      <c r="C128" s="17"/>
      <c r="D128" s="28"/>
      <c r="E128" s="28"/>
      <c r="F128" s="27"/>
      <c r="G128" s="6"/>
      <c r="H128" s="18"/>
      <c r="I128" s="18"/>
      <c r="J128" s="18"/>
      <c r="K128" s="49"/>
      <c r="L128" s="20"/>
      <c r="M128" s="17"/>
      <c r="N128" s="19"/>
      <c r="O128" s="19"/>
    </row>
    <row r="129" spans="1:15" x14ac:dyDescent="0.2">
      <c r="A129" s="30"/>
      <c r="B129" s="6"/>
      <c r="C129" s="17"/>
      <c r="D129" s="28"/>
      <c r="E129" s="28"/>
      <c r="F129" s="27"/>
      <c r="G129" s="6"/>
      <c r="H129" s="18"/>
      <c r="I129" s="18"/>
      <c r="J129" s="18"/>
      <c r="K129" s="49"/>
      <c r="L129" s="20"/>
      <c r="M129" s="17"/>
      <c r="N129" s="19"/>
      <c r="O129" s="19"/>
    </row>
    <row r="130" spans="1:15" x14ac:dyDescent="0.2">
      <c r="A130" s="30"/>
      <c r="B130" s="6"/>
      <c r="C130" s="17"/>
      <c r="D130" s="28"/>
      <c r="E130" s="28"/>
      <c r="F130" s="27"/>
      <c r="G130" s="6"/>
      <c r="H130" s="18"/>
      <c r="I130" s="18"/>
      <c r="J130" s="18"/>
      <c r="K130" s="49"/>
      <c r="L130" s="20"/>
      <c r="M130" s="17"/>
      <c r="N130" s="19"/>
      <c r="O130" s="19"/>
    </row>
    <row r="131" spans="1:15" x14ac:dyDescent="0.2">
      <c r="A131" s="30"/>
      <c r="B131" s="6"/>
      <c r="C131" s="17"/>
      <c r="D131" s="28"/>
      <c r="E131" s="28"/>
      <c r="F131" s="27"/>
      <c r="G131" s="6"/>
      <c r="H131" s="18"/>
      <c r="I131" s="18"/>
      <c r="J131" s="18"/>
      <c r="K131" s="49"/>
      <c r="L131" s="20"/>
      <c r="M131" s="17"/>
      <c r="N131" s="19"/>
      <c r="O131" s="19"/>
    </row>
    <row r="132" spans="1:15" x14ac:dyDescent="0.2">
      <c r="A132" s="30"/>
      <c r="B132" s="6"/>
      <c r="C132" s="17"/>
      <c r="D132" s="28"/>
      <c r="E132" s="28"/>
      <c r="F132" s="27"/>
      <c r="G132" s="6"/>
      <c r="H132" s="18"/>
      <c r="I132" s="18"/>
      <c r="J132" s="18"/>
      <c r="K132" s="49"/>
      <c r="L132" s="20"/>
      <c r="M132" s="17"/>
      <c r="N132" s="19"/>
      <c r="O132" s="19"/>
    </row>
    <row r="133" spans="1:15" x14ac:dyDescent="0.2">
      <c r="A133" s="30"/>
      <c r="B133" s="6"/>
      <c r="C133" s="17"/>
      <c r="D133" s="28"/>
      <c r="E133" s="28"/>
      <c r="F133" s="27"/>
      <c r="G133" s="6"/>
      <c r="H133" s="18"/>
      <c r="I133" s="18"/>
      <c r="J133" s="18"/>
      <c r="K133" s="49"/>
      <c r="L133" s="20"/>
      <c r="M133" s="17"/>
      <c r="N133" s="19"/>
      <c r="O133" s="19"/>
    </row>
    <row r="134" spans="1:15" x14ac:dyDescent="0.2">
      <c r="A134" s="30"/>
      <c r="B134" s="6"/>
      <c r="C134" s="17"/>
      <c r="D134" s="28"/>
      <c r="E134" s="28"/>
      <c r="F134" s="27"/>
      <c r="G134" s="6"/>
      <c r="H134" s="18"/>
      <c r="I134" s="18"/>
      <c r="J134" s="18"/>
      <c r="K134" s="49"/>
      <c r="L134" s="20"/>
      <c r="M134" s="17"/>
      <c r="N134" s="19"/>
      <c r="O134" s="19"/>
    </row>
    <row r="135" spans="1:15" x14ac:dyDescent="0.2">
      <c r="A135" s="30"/>
      <c r="B135" s="6"/>
      <c r="C135" s="17"/>
      <c r="D135" s="28"/>
      <c r="E135" s="28"/>
      <c r="F135" s="27"/>
      <c r="G135" s="6"/>
      <c r="H135" s="18"/>
      <c r="I135" s="18"/>
      <c r="J135" s="18"/>
      <c r="K135" s="49"/>
      <c r="L135" s="20"/>
      <c r="M135" s="17"/>
      <c r="N135" s="19"/>
      <c r="O135" s="19"/>
    </row>
    <row r="136" spans="1:15" x14ac:dyDescent="0.2">
      <c r="A136" s="30"/>
      <c r="B136" s="6"/>
      <c r="C136" s="17"/>
      <c r="D136" s="28"/>
      <c r="E136" s="28"/>
      <c r="F136" s="27"/>
      <c r="G136" s="6"/>
      <c r="H136" s="18"/>
      <c r="I136" s="18"/>
      <c r="J136" s="18"/>
      <c r="K136" s="49"/>
      <c r="L136" s="20"/>
      <c r="M136" s="17"/>
      <c r="N136" s="19"/>
      <c r="O136" s="19"/>
    </row>
    <row r="137" spans="1:15" x14ac:dyDescent="0.2">
      <c r="A137" s="30"/>
      <c r="B137" s="6"/>
      <c r="C137" s="17"/>
      <c r="D137" s="28"/>
      <c r="E137" s="28"/>
      <c r="F137" s="27"/>
      <c r="G137" s="6"/>
      <c r="H137" s="18"/>
      <c r="I137" s="18"/>
      <c r="J137" s="18"/>
      <c r="K137" s="49"/>
      <c r="L137" s="20"/>
      <c r="M137" s="17"/>
      <c r="N137" s="19"/>
      <c r="O137" s="19"/>
    </row>
    <row r="138" spans="1:15" x14ac:dyDescent="0.2">
      <c r="A138" s="30"/>
      <c r="B138" s="6"/>
      <c r="C138" s="17"/>
      <c r="D138" s="28"/>
      <c r="E138" s="28"/>
      <c r="F138" s="27"/>
      <c r="G138" s="6"/>
      <c r="H138" s="18"/>
      <c r="I138" s="18"/>
      <c r="J138" s="18"/>
      <c r="K138" s="49"/>
      <c r="L138" s="20"/>
      <c r="M138" s="17"/>
      <c r="N138" s="19"/>
      <c r="O138" s="19"/>
    </row>
    <row r="139" spans="1:15" x14ac:dyDescent="0.2">
      <c r="A139" s="30"/>
      <c r="B139" s="6"/>
      <c r="C139" s="17"/>
      <c r="D139" s="28"/>
      <c r="E139" s="28"/>
      <c r="F139" s="27"/>
      <c r="G139" s="6"/>
      <c r="H139" s="18"/>
      <c r="I139" s="18"/>
      <c r="J139" s="18"/>
      <c r="K139" s="49"/>
      <c r="L139" s="20"/>
      <c r="M139" s="17"/>
      <c r="N139" s="19"/>
      <c r="O139" s="19"/>
    </row>
    <row r="140" spans="1:15" x14ac:dyDescent="0.2">
      <c r="A140" s="30"/>
      <c r="B140" s="6"/>
      <c r="C140" s="17"/>
      <c r="D140" s="28"/>
      <c r="E140" s="28"/>
      <c r="F140" s="27"/>
      <c r="G140" s="6"/>
      <c r="H140" s="18"/>
      <c r="I140" s="18"/>
      <c r="J140" s="18"/>
      <c r="K140" s="49"/>
      <c r="L140" s="20"/>
      <c r="M140" s="17"/>
      <c r="N140" s="19"/>
      <c r="O140" s="19"/>
    </row>
    <row r="141" spans="1:15" x14ac:dyDescent="0.2">
      <c r="A141" s="30"/>
      <c r="B141" s="6"/>
      <c r="C141" s="17"/>
      <c r="D141" s="28"/>
      <c r="E141" s="28"/>
      <c r="F141" s="27"/>
      <c r="G141" s="6"/>
      <c r="H141" s="18"/>
      <c r="I141" s="18"/>
      <c r="J141" s="18"/>
      <c r="K141" s="49"/>
      <c r="L141" s="20"/>
      <c r="M141" s="17"/>
      <c r="N141" s="19"/>
      <c r="O141" s="19"/>
    </row>
    <row r="142" spans="1:15" x14ac:dyDescent="0.2">
      <c r="A142" s="30"/>
      <c r="B142" s="6"/>
      <c r="C142" s="17"/>
      <c r="D142" s="28"/>
      <c r="E142" s="28"/>
      <c r="F142" s="27"/>
      <c r="G142" s="6"/>
      <c r="H142" s="18"/>
      <c r="I142" s="18"/>
      <c r="J142" s="18"/>
      <c r="K142" s="49"/>
      <c r="L142" s="20"/>
      <c r="M142" s="17"/>
      <c r="N142" s="19"/>
      <c r="O142" s="19"/>
    </row>
    <row r="143" spans="1:15" x14ac:dyDescent="0.2">
      <c r="A143" s="30"/>
      <c r="B143" s="6"/>
      <c r="C143" s="17"/>
      <c r="D143" s="28"/>
      <c r="E143" s="28"/>
      <c r="F143" s="27"/>
      <c r="G143" s="6"/>
      <c r="H143" s="18"/>
      <c r="I143" s="18"/>
      <c r="J143" s="18"/>
      <c r="K143" s="49"/>
      <c r="L143" s="20"/>
      <c r="M143" s="17"/>
      <c r="N143" s="19"/>
      <c r="O143" s="19"/>
    </row>
    <row r="144" spans="1:15" x14ac:dyDescent="0.2">
      <c r="A144" s="30"/>
      <c r="B144" s="6"/>
      <c r="C144" s="17"/>
      <c r="D144" s="28"/>
      <c r="E144" s="28"/>
      <c r="F144" s="27"/>
      <c r="G144" s="6"/>
      <c r="H144" s="18"/>
      <c r="I144" s="18"/>
      <c r="J144" s="18"/>
      <c r="K144" s="49"/>
      <c r="L144" s="20"/>
      <c r="M144" s="17"/>
      <c r="N144" s="19"/>
      <c r="O144" s="19"/>
    </row>
    <row r="145" spans="1:15" x14ac:dyDescent="0.2">
      <c r="A145" s="30"/>
      <c r="B145" s="6"/>
      <c r="C145" s="17"/>
      <c r="D145" s="28"/>
      <c r="E145" s="28"/>
      <c r="F145" s="27"/>
      <c r="G145" s="6"/>
      <c r="H145" s="18"/>
      <c r="I145" s="18"/>
      <c r="J145" s="18"/>
      <c r="K145" s="49"/>
      <c r="L145" s="20"/>
      <c r="M145" s="17"/>
      <c r="N145" s="19"/>
      <c r="O145" s="19"/>
    </row>
    <row r="146" spans="1:15" x14ac:dyDescent="0.2">
      <c r="A146" s="30"/>
      <c r="B146" s="6"/>
      <c r="C146" s="17"/>
      <c r="D146" s="28"/>
      <c r="E146" s="28"/>
      <c r="F146" s="27"/>
      <c r="G146" s="6"/>
      <c r="H146" s="18"/>
      <c r="I146" s="18"/>
      <c r="J146" s="18"/>
      <c r="K146" s="49"/>
      <c r="L146" s="20"/>
      <c r="M146" s="17"/>
      <c r="N146" s="19"/>
      <c r="O146" s="19"/>
    </row>
    <row r="147" spans="1:15" x14ac:dyDescent="0.2">
      <c r="A147" s="30"/>
      <c r="B147" s="6"/>
      <c r="C147" s="17"/>
      <c r="D147" s="28"/>
      <c r="E147" s="28"/>
      <c r="F147" s="27"/>
      <c r="G147" s="6"/>
      <c r="H147" s="18"/>
      <c r="I147" s="18"/>
      <c r="J147" s="18"/>
      <c r="K147" s="49"/>
      <c r="L147" s="20"/>
      <c r="M147" s="17"/>
      <c r="N147" s="19"/>
      <c r="O147" s="19"/>
    </row>
  </sheetData>
  <mergeCells count="3">
    <mergeCell ref="F1:F2"/>
    <mergeCell ref="A21:L21"/>
    <mergeCell ref="A19:O19"/>
  </mergeCells>
  <phoneticPr fontId="1" type="noConversion"/>
  <conditionalFormatting sqref="L20:L147 L18">
    <cfRule type="dataBar" priority="1">
      <dataBar>
        <cfvo type="num" val="0"/>
        <cfvo type="num" val="1"/>
        <color theme="5"/>
      </dataBar>
      <extLst>
        <ext xmlns:x14="http://schemas.microsoft.com/office/spreadsheetml/2009/9/main" uri="{B025F937-C7B1-47D3-B67F-A62EFF666E3E}">
          <x14:id>{F9084A57-163B-DA45-81DB-7A3D16152A12}</x14:id>
        </ext>
      </extLst>
    </cfRule>
  </conditionalFormatting>
  <conditionalFormatting sqref="L41">
    <cfRule type="dataBar" priority="6">
      <dataBar>
        <cfvo type="num" val="0"/>
        <cfvo type="num" val="1"/>
        <color theme="5"/>
      </dataBar>
      <extLst>
        <ext xmlns:x14="http://schemas.microsoft.com/office/spreadsheetml/2009/9/main" uri="{B025F937-C7B1-47D3-B67F-A62EFF666E3E}">
          <x14:id>{FB685261-66FC-DB41-8810-7D0F7930BB74}</x14:id>
        </ext>
      </extLst>
    </cfRule>
  </conditionalFormatting>
  <dataValidations count="1">
    <dataValidation type="list" errorStyle="warning" allowBlank="1" showInputMessage="1" showErrorMessage="1" error="Select a value from the dropdown list. Or enter one of the following: 0%, 25%, 50%, 75%, or 100%" sqref="L18 L22:L147" xr:uid="{38EEA788-F60E-B54D-9115-366AD6BD2CD9}">
      <formula1>"0%,25%,50%,75%,100%"</formula1>
    </dataValidation>
  </dataValidations>
  <pageMargins left="0.7" right="0.7" top="0.75" bottom="0.75" header="0.3" footer="0.3"/>
  <pageSetup paperSize="9" orientation="portrait" horizontalDpi="0" verticalDpi="0"/>
  <legacy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9084A57-163B-DA45-81DB-7A3D16152A12}">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L20:L147 L18</xm:sqref>
        </x14:conditionalFormatting>
        <x14:conditionalFormatting xmlns:xm="http://schemas.microsoft.com/office/excel/2006/main">
          <x14:cfRule type="dataBar" id="{FB685261-66FC-DB41-8810-7D0F7930BB74}">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L41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2F4BAC29-377D-294E-81C5-A78688E0FB10}">
          <x14:formula1>
            <xm:f>Dropdowns!$I$2:$I$15</xm:f>
          </x14:formula1>
          <xm:sqref>G22:G147 G18 G4:G16</xm:sqref>
        </x14:dataValidation>
        <x14:dataValidation type="list" allowBlank="1" showInputMessage="1" showErrorMessage="1" xr:uid="{9FF4862C-3D14-3D45-9C57-BF4689C58562}">
          <x14:formula1>
            <xm:f>Dropdowns!$C$2:$C$7</xm:f>
          </x14:formula1>
          <xm:sqref>B18 B22:B147 B4:B16</xm:sqref>
        </x14:dataValidation>
        <x14:dataValidation type="list" allowBlank="1" showInputMessage="1" showErrorMessage="1" xr:uid="{1D074CDC-BCFD-EF4B-8E32-B3B4D581E854}">
          <x14:formula1>
            <xm:f>Dropdowns!$K$2:$K$4</xm:f>
          </x14:formula1>
          <xm:sqref>K44:K147 K22:K42 K18</xm:sqref>
        </x14:dataValidation>
        <x14:dataValidation type="list" allowBlank="1" showInputMessage="1" showErrorMessage="1" xr:uid="{A67F1B11-8CC1-5141-9021-B100CFBCF552}">
          <x14:formula1>
            <xm:f>Dropdowns!$K$2:$K$5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9052-A013-F642-841B-05A73D0C70F3}">
  <dimension ref="A1:Q140"/>
  <sheetViews>
    <sheetView showGridLines="0" zoomScaleNormal="100" workbookViewId="0">
      <pane xSplit="1" ySplit="3" topLeftCell="B4" activePane="bottomRight" state="frozen"/>
      <selection pane="topRight" activeCell="B1" sqref="B1"/>
      <selection pane="bottomLeft" activeCell="A4" sqref="A4"/>
      <selection pane="bottomRight" activeCell="I3" sqref="I3:J3"/>
    </sheetView>
  </sheetViews>
  <sheetFormatPr baseColWidth="10" defaultRowHeight="15" x14ac:dyDescent="0.2"/>
  <cols>
    <col min="1" max="1" width="11.1640625" customWidth="1"/>
    <col min="2" max="2" width="20.1640625" bestFit="1" customWidth="1"/>
    <col min="3" max="3" width="24.33203125" customWidth="1"/>
    <col min="4" max="4" width="15.1640625" bestFit="1" customWidth="1"/>
    <col min="5" max="6" width="14.6640625" bestFit="1" customWidth="1"/>
    <col min="8" max="10" width="30.6640625" customWidth="1"/>
    <col min="11" max="11" width="16" customWidth="1"/>
    <col min="12" max="12" width="51.83203125" customWidth="1"/>
    <col min="13" max="13" width="23.6640625" bestFit="1" customWidth="1"/>
    <col min="14" max="14" width="26.1640625" bestFit="1" customWidth="1"/>
  </cols>
  <sheetData>
    <row r="1" spans="1:17" x14ac:dyDescent="0.2">
      <c r="D1" s="53" t="s">
        <v>62</v>
      </c>
      <c r="F1" s="232">
        <v>17.61</v>
      </c>
    </row>
    <row r="2" spans="1:17" ht="16" thickBot="1" x14ac:dyDescent="0.25">
      <c r="D2" s="52">
        <v>1.08</v>
      </c>
      <c r="F2" s="233"/>
    </row>
    <row r="3" spans="1:17" ht="16" x14ac:dyDescent="0.2">
      <c r="A3" t="s">
        <v>104</v>
      </c>
      <c r="B3" s="105" t="s">
        <v>467</v>
      </c>
      <c r="C3" s="106" t="s">
        <v>469</v>
      </c>
      <c r="D3" s="44" t="s">
        <v>176</v>
      </c>
      <c r="E3" s="44" t="s">
        <v>255</v>
      </c>
      <c r="F3" s="44" t="s">
        <v>38</v>
      </c>
      <c r="G3" s="44" t="s">
        <v>95</v>
      </c>
      <c r="H3" s="107" t="s">
        <v>350</v>
      </c>
      <c r="I3" s="107" t="s">
        <v>565</v>
      </c>
      <c r="J3" s="107" t="s">
        <v>566</v>
      </c>
      <c r="K3" s="108" t="s">
        <v>470</v>
      </c>
      <c r="L3" s="109" t="s">
        <v>472</v>
      </c>
      <c r="M3" s="45" t="s">
        <v>496</v>
      </c>
      <c r="N3" s="45" t="s">
        <v>497</v>
      </c>
    </row>
    <row r="4" spans="1:17" ht="64" x14ac:dyDescent="0.2">
      <c r="A4" s="65" t="s">
        <v>192</v>
      </c>
      <c r="B4" s="65" t="s">
        <v>73</v>
      </c>
      <c r="C4" s="63" t="s">
        <v>9</v>
      </c>
      <c r="D4" s="68">
        <f>Table810121314151617[[#This Row],[Euro: Amount]]*$D$2</f>
        <v>2160000</v>
      </c>
      <c r="E4" s="80">
        <v>2000000</v>
      </c>
      <c r="F4" s="79">
        <f>Table810121314151617[[#This Row],[Total US$ ]]*$F$1</f>
        <v>38037600</v>
      </c>
      <c r="G4" s="65" t="s">
        <v>87</v>
      </c>
      <c r="H4" s="76" t="s">
        <v>513</v>
      </c>
      <c r="I4" s="76" t="s">
        <v>758</v>
      </c>
      <c r="J4" s="76" t="s">
        <v>759</v>
      </c>
      <c r="K4" s="84" t="s">
        <v>494</v>
      </c>
      <c r="L4" s="63" t="s">
        <v>558</v>
      </c>
      <c r="M4" s="85">
        <v>44562</v>
      </c>
      <c r="N4" s="85">
        <v>46022</v>
      </c>
    </row>
    <row r="5" spans="1:17" ht="32" x14ac:dyDescent="0.2">
      <c r="A5" s="65" t="s">
        <v>193</v>
      </c>
      <c r="B5" s="65" t="s">
        <v>73</v>
      </c>
      <c r="C5" s="63" t="s">
        <v>10</v>
      </c>
      <c r="D5" s="68">
        <f>Table810121314151617[[#This Row],[Euro: Amount]]*$D$2</f>
        <v>186580.56489795921</v>
      </c>
      <c r="E5" s="80">
        <v>172759.78231292518</v>
      </c>
      <c r="F5" s="79">
        <f>Table810121314151617[[#This Row],[Total US$ ]]*$F$1</f>
        <v>3285683.7478530616</v>
      </c>
      <c r="G5" s="65" t="s">
        <v>87</v>
      </c>
      <c r="H5" s="76" t="s">
        <v>382</v>
      </c>
      <c r="I5" s="76" t="s">
        <v>760</v>
      </c>
      <c r="J5" s="76" t="s">
        <v>761</v>
      </c>
      <c r="K5" s="84" t="s">
        <v>494</v>
      </c>
      <c r="L5" s="63" t="s">
        <v>339</v>
      </c>
      <c r="M5" s="85">
        <v>44880</v>
      </c>
      <c r="N5" s="85">
        <v>45961</v>
      </c>
    </row>
    <row r="6" spans="1:17" ht="80" x14ac:dyDescent="0.2">
      <c r="A6" s="65" t="s">
        <v>194</v>
      </c>
      <c r="B6" s="63" t="s">
        <v>56</v>
      </c>
      <c r="C6" s="63" t="s">
        <v>252</v>
      </c>
      <c r="D6" s="68">
        <f>Table810121314151617[[#This Row],[Euro: Amount]]*$D$2</f>
        <v>1867752.0000000002</v>
      </c>
      <c r="E6" s="80">
        <v>1729400</v>
      </c>
      <c r="F6" s="79">
        <f>Table810121314151617[[#This Row],[Total US$ ]]*$F$1</f>
        <v>32891112.720000003</v>
      </c>
      <c r="G6" s="65" t="s">
        <v>87</v>
      </c>
      <c r="H6" s="76" t="s">
        <v>60</v>
      </c>
      <c r="I6" s="76" t="s">
        <v>762</v>
      </c>
      <c r="J6" s="76" t="s">
        <v>763</v>
      </c>
      <c r="K6" s="84" t="s">
        <v>494</v>
      </c>
      <c r="L6" s="63" t="s">
        <v>559</v>
      </c>
      <c r="M6" s="85">
        <v>44927</v>
      </c>
      <c r="N6" s="85">
        <v>47848</v>
      </c>
    </row>
    <row r="7" spans="1:17" ht="64" x14ac:dyDescent="0.2">
      <c r="A7" s="65" t="s">
        <v>195</v>
      </c>
      <c r="B7" s="63" t="s">
        <v>70</v>
      </c>
      <c r="C7" s="63" t="s">
        <v>253</v>
      </c>
      <c r="D7" s="68">
        <f>Table810121314151617[[#This Row],[Euro: Amount]]*$D$2</f>
        <v>54000000</v>
      </c>
      <c r="E7" s="80">
        <v>50000000</v>
      </c>
      <c r="F7" s="79">
        <f>Table810121314151617[[#This Row],[Total US$ ]]*$F$1</f>
        <v>950940000</v>
      </c>
      <c r="G7" s="65" t="s">
        <v>87</v>
      </c>
      <c r="H7" s="76" t="s">
        <v>6</v>
      </c>
      <c r="I7" s="76" t="s">
        <v>6</v>
      </c>
      <c r="J7" s="76" t="s">
        <v>6</v>
      </c>
      <c r="K7" s="84" t="s">
        <v>251</v>
      </c>
      <c r="L7" s="63" t="s">
        <v>340</v>
      </c>
      <c r="M7" s="85">
        <v>44927</v>
      </c>
      <c r="N7" s="85">
        <v>47848</v>
      </c>
    </row>
    <row r="8" spans="1:17" ht="64" x14ac:dyDescent="0.2">
      <c r="A8" s="65" t="s">
        <v>196</v>
      </c>
      <c r="B8" s="65" t="s">
        <v>70</v>
      </c>
      <c r="C8" s="63" t="s">
        <v>254</v>
      </c>
      <c r="D8" s="68">
        <f>Table810121314151617[[#This Row],[Euro: Amount]]*$D$2</f>
        <v>2160000</v>
      </c>
      <c r="E8" s="80">
        <v>2000000</v>
      </c>
      <c r="F8" s="79">
        <f>Table810121314151617[[#This Row],[Total US$ ]]*$F$1</f>
        <v>38037600</v>
      </c>
      <c r="G8" s="65" t="s">
        <v>87</v>
      </c>
      <c r="H8" s="76" t="s">
        <v>514</v>
      </c>
      <c r="I8" s="76" t="s">
        <v>764</v>
      </c>
      <c r="J8" s="76" t="s">
        <v>765</v>
      </c>
      <c r="K8" s="84" t="s">
        <v>494</v>
      </c>
      <c r="L8" s="63" t="s">
        <v>341</v>
      </c>
      <c r="M8" s="85">
        <v>44562</v>
      </c>
      <c r="N8" s="85">
        <v>46022</v>
      </c>
    </row>
    <row r="9" spans="1:17" ht="96" x14ac:dyDescent="0.2">
      <c r="A9" s="65" t="s">
        <v>504</v>
      </c>
      <c r="B9" s="65" t="s">
        <v>73</v>
      </c>
      <c r="C9" s="62" t="s">
        <v>505</v>
      </c>
      <c r="D9" s="68">
        <f>Table810121314151617[[#This Row],[Euro: Amount]]*$D$2</f>
        <v>384054.48000000004</v>
      </c>
      <c r="E9" s="80">
        <v>355606</v>
      </c>
      <c r="F9" s="79">
        <f>Table810121314151617[[#This Row],[Total US$ ]]*$F$1</f>
        <v>6763199.3928000005</v>
      </c>
      <c r="G9" s="65" t="s">
        <v>87</v>
      </c>
      <c r="H9" s="76" t="s">
        <v>506</v>
      </c>
      <c r="I9" s="76" t="s">
        <v>766</v>
      </c>
      <c r="J9" s="76" t="s">
        <v>767</v>
      </c>
      <c r="K9" s="84" t="s">
        <v>494</v>
      </c>
      <c r="L9" s="63" t="s">
        <v>560</v>
      </c>
      <c r="M9" s="85">
        <v>44927</v>
      </c>
      <c r="N9" s="85">
        <v>46022</v>
      </c>
    </row>
    <row r="10" spans="1:17" x14ac:dyDescent="0.2">
      <c r="A10" s="65"/>
      <c r="B10" s="65"/>
      <c r="C10" s="62"/>
      <c r="D10" s="66">
        <f>SUBTOTAL(109,Table810121314151617[Total US$ ])</f>
        <v>60758387.044897959</v>
      </c>
      <c r="E10" s="80">
        <f>SUBTOTAL(109,Table810121314151617[Euro: Amount])</f>
        <v>56257765.782312922</v>
      </c>
      <c r="F10" s="79">
        <f>SUBTOTAL(109,Table810121314151617[Total ZAR])</f>
        <v>1069955195.860653</v>
      </c>
      <c r="G10" s="6"/>
      <c r="H10" s="46"/>
      <c r="I10" s="46"/>
      <c r="J10" s="46"/>
      <c r="K10" s="48"/>
      <c r="L10" s="24"/>
      <c r="M10" s="47"/>
      <c r="N10" s="47"/>
    </row>
    <row r="11" spans="1:17" x14ac:dyDescent="0.2">
      <c r="A11" s="30"/>
      <c r="B11" s="22"/>
      <c r="C11" s="12"/>
      <c r="D11" s="25"/>
      <c r="E11" s="25"/>
      <c r="F11" s="27"/>
      <c r="G11" s="6"/>
      <c r="H11" s="7"/>
      <c r="I11" s="7"/>
      <c r="J11" s="7"/>
      <c r="K11" s="23"/>
      <c r="L11" s="7"/>
      <c r="M11" s="14"/>
      <c r="N11" s="14"/>
    </row>
    <row r="12" spans="1:17" ht="26" customHeight="1" x14ac:dyDescent="0.2">
      <c r="A12" s="230" t="s">
        <v>676</v>
      </c>
      <c r="B12" s="230"/>
      <c r="C12" s="230"/>
      <c r="D12" s="230"/>
      <c r="E12" s="230"/>
      <c r="F12" s="230"/>
      <c r="G12" s="230"/>
      <c r="H12" s="230"/>
      <c r="I12" s="230"/>
      <c r="J12" s="230"/>
      <c r="K12" s="230"/>
      <c r="L12" s="230"/>
      <c r="M12" s="230"/>
      <c r="N12" s="230"/>
      <c r="O12" s="230"/>
      <c r="P12" s="230"/>
      <c r="Q12" s="230"/>
    </row>
    <row r="13" spans="1:17" x14ac:dyDescent="0.2">
      <c r="B13" s="1"/>
      <c r="E13" s="1"/>
      <c r="F13" s="1"/>
      <c r="G13" s="8"/>
      <c r="H13" s="1"/>
      <c r="I13" s="1"/>
      <c r="J13" s="1"/>
      <c r="K13" s="3"/>
      <c r="M13" s="17"/>
      <c r="N13" s="19"/>
      <c r="O13" s="19"/>
    </row>
    <row r="14" spans="1:17" ht="15" customHeight="1" x14ac:dyDescent="0.2">
      <c r="A14" s="230" t="s">
        <v>561</v>
      </c>
      <c r="B14" s="230"/>
      <c r="C14" s="230"/>
      <c r="D14" s="230"/>
      <c r="E14" s="230"/>
      <c r="F14" s="230"/>
      <c r="G14" s="230"/>
      <c r="H14" s="230"/>
      <c r="I14" s="230"/>
      <c r="J14" s="230"/>
      <c r="K14" s="230"/>
      <c r="L14" s="230"/>
      <c r="M14" s="17"/>
      <c r="N14" s="19"/>
      <c r="O14" s="19"/>
    </row>
    <row r="15" spans="1:17" x14ac:dyDescent="0.2">
      <c r="A15" s="30"/>
      <c r="B15" s="6"/>
      <c r="C15" s="13"/>
      <c r="D15" s="26"/>
      <c r="E15" s="26"/>
      <c r="F15" s="27"/>
      <c r="G15" s="6"/>
      <c r="H15" s="15"/>
      <c r="I15" s="15"/>
      <c r="J15" s="15"/>
      <c r="K15" s="23"/>
      <c r="L15" s="15"/>
      <c r="M15" s="16"/>
      <c r="N15" s="16"/>
    </row>
    <row r="16" spans="1:17" x14ac:dyDescent="0.2">
      <c r="A16" s="2" t="s">
        <v>502</v>
      </c>
      <c r="B16" s="6"/>
      <c r="C16" s="13"/>
      <c r="D16" s="26"/>
      <c r="E16" s="26"/>
      <c r="F16" s="27"/>
      <c r="G16" s="6"/>
      <c r="H16" s="15"/>
      <c r="I16" s="15"/>
      <c r="J16" s="15"/>
      <c r="K16" s="23"/>
      <c r="L16" s="15"/>
      <c r="M16" s="16"/>
      <c r="N16" s="16"/>
    </row>
    <row r="17" spans="1:14" x14ac:dyDescent="0.2">
      <c r="A17" s="30"/>
      <c r="B17" s="22"/>
      <c r="C17" s="13"/>
      <c r="D17" s="26"/>
      <c r="E17" s="26"/>
      <c r="F17" s="27"/>
      <c r="G17" s="5"/>
      <c r="H17" s="15"/>
      <c r="I17" s="15"/>
      <c r="J17" s="15"/>
      <c r="K17" s="23"/>
      <c r="L17" s="15"/>
      <c r="M17" s="16"/>
      <c r="N17" s="16"/>
    </row>
    <row r="18" spans="1:14" x14ac:dyDescent="0.2">
      <c r="A18" s="30"/>
      <c r="B18" s="22"/>
      <c r="C18" s="12"/>
      <c r="D18" s="25"/>
      <c r="E18" s="25"/>
      <c r="F18" s="27"/>
      <c r="G18" s="5"/>
      <c r="H18" s="7"/>
      <c r="I18" s="7"/>
      <c r="J18" s="7"/>
      <c r="K18" s="23"/>
      <c r="L18" s="7"/>
      <c r="M18" s="16"/>
      <c r="N18" s="14"/>
    </row>
    <row r="19" spans="1:14" x14ac:dyDescent="0.2">
      <c r="A19" s="30"/>
      <c r="B19" s="22"/>
      <c r="C19" s="12"/>
      <c r="D19" s="25"/>
      <c r="E19" s="25"/>
      <c r="F19" s="27"/>
      <c r="G19" s="5"/>
      <c r="H19" s="7"/>
      <c r="I19" s="7"/>
      <c r="J19" s="7"/>
      <c r="K19" s="23"/>
      <c r="L19" s="12"/>
      <c r="M19" s="16"/>
      <c r="N19" s="14"/>
    </row>
    <row r="20" spans="1:14" x14ac:dyDescent="0.2">
      <c r="A20" s="30"/>
      <c r="B20" s="22"/>
      <c r="C20" s="12"/>
      <c r="D20" s="25"/>
      <c r="E20" s="25"/>
      <c r="F20" s="27"/>
      <c r="G20" s="6"/>
      <c r="H20" s="7"/>
      <c r="I20" s="7"/>
      <c r="J20" s="7"/>
      <c r="K20" s="23"/>
      <c r="L20" s="12"/>
      <c r="M20" s="14"/>
      <c r="N20" s="14"/>
    </row>
    <row r="21" spans="1:14" x14ac:dyDescent="0.2">
      <c r="A21" s="30"/>
      <c r="B21" s="22"/>
      <c r="C21" s="12"/>
      <c r="D21" s="25"/>
      <c r="E21" s="25"/>
      <c r="F21" s="27"/>
      <c r="G21" s="6"/>
      <c r="H21" s="7"/>
      <c r="I21" s="7"/>
      <c r="J21" s="7"/>
      <c r="K21" s="23"/>
      <c r="L21" s="12"/>
      <c r="M21" s="14"/>
      <c r="N21" s="14"/>
    </row>
    <row r="22" spans="1:14" x14ac:dyDescent="0.2">
      <c r="A22" s="30"/>
      <c r="B22" s="22"/>
      <c r="C22" s="12"/>
      <c r="D22" s="25"/>
      <c r="E22" s="25"/>
      <c r="F22" s="27"/>
      <c r="G22" s="6"/>
      <c r="H22" s="7"/>
      <c r="I22" s="7"/>
      <c r="J22" s="7"/>
      <c r="K22" s="23"/>
      <c r="L22" s="12"/>
      <c r="M22" s="14"/>
      <c r="N22" s="14"/>
    </row>
    <row r="23" spans="1:14" x14ac:dyDescent="0.2">
      <c r="A23" s="30"/>
      <c r="B23" s="22"/>
      <c r="C23" s="12"/>
      <c r="D23" s="25"/>
      <c r="E23" s="25"/>
      <c r="F23" s="27"/>
      <c r="G23" s="6"/>
      <c r="H23" s="7"/>
      <c r="I23" s="7"/>
      <c r="J23" s="7"/>
      <c r="K23" s="23"/>
      <c r="L23" s="7"/>
      <c r="M23" s="14"/>
      <c r="N23" s="14"/>
    </row>
    <row r="24" spans="1:14" x14ac:dyDescent="0.2">
      <c r="A24" s="30"/>
      <c r="B24" s="22"/>
      <c r="C24" s="12"/>
      <c r="D24" s="25"/>
      <c r="E24" s="25"/>
      <c r="F24" s="27"/>
      <c r="G24" s="6"/>
      <c r="H24" s="7"/>
      <c r="I24" s="7"/>
      <c r="J24" s="7"/>
      <c r="K24" s="23"/>
      <c r="L24" s="7"/>
      <c r="M24" s="14"/>
      <c r="N24" s="14"/>
    </row>
    <row r="25" spans="1:14" x14ac:dyDescent="0.2">
      <c r="A25" s="30"/>
      <c r="B25" s="22"/>
      <c r="C25" s="12"/>
      <c r="D25" s="25"/>
      <c r="E25" s="25"/>
      <c r="F25" s="27"/>
      <c r="G25" s="6"/>
      <c r="H25" s="7"/>
      <c r="I25" s="7"/>
      <c r="J25" s="7"/>
      <c r="K25" s="23"/>
      <c r="L25" s="12"/>
      <c r="M25" s="16"/>
      <c r="N25" s="14"/>
    </row>
    <row r="26" spans="1:14" x14ac:dyDescent="0.2">
      <c r="A26" s="30"/>
      <c r="B26" s="22"/>
      <c r="C26" s="12"/>
      <c r="D26" s="25"/>
      <c r="E26" s="25"/>
      <c r="F26" s="27"/>
      <c r="G26" s="6"/>
      <c r="H26" s="7"/>
      <c r="I26" s="7"/>
      <c r="J26" s="7"/>
      <c r="K26" s="23"/>
      <c r="L26" s="7"/>
      <c r="M26" s="14"/>
      <c r="N26" s="14"/>
    </row>
    <row r="27" spans="1:14" x14ac:dyDescent="0.2">
      <c r="A27" s="30"/>
      <c r="B27" s="34"/>
      <c r="C27" s="34"/>
      <c r="D27" s="40"/>
      <c r="E27" s="40"/>
      <c r="F27" s="27"/>
      <c r="G27" s="5"/>
      <c r="H27" s="36"/>
      <c r="I27" s="36"/>
      <c r="J27" s="36"/>
      <c r="K27" s="38"/>
      <c r="L27" s="36"/>
      <c r="M27" s="41"/>
      <c r="N27" s="41"/>
    </row>
    <row r="28" spans="1:14" x14ac:dyDescent="0.2">
      <c r="A28" s="30"/>
      <c r="B28" s="30"/>
      <c r="C28" s="6"/>
      <c r="D28" s="42"/>
      <c r="E28" s="42"/>
      <c r="F28" s="27"/>
      <c r="G28" s="5"/>
      <c r="H28" s="31"/>
      <c r="I28" s="31"/>
      <c r="J28" s="31"/>
      <c r="K28" s="23"/>
      <c r="L28" s="31"/>
      <c r="M28" s="33"/>
      <c r="N28" s="33"/>
    </row>
    <row r="29" spans="1:14" x14ac:dyDescent="0.2">
      <c r="A29" s="30"/>
      <c r="B29" s="34"/>
      <c r="C29" s="5"/>
      <c r="D29" s="40"/>
      <c r="E29" s="40"/>
      <c r="F29" s="27"/>
      <c r="G29" s="5"/>
      <c r="H29" s="36"/>
      <c r="I29" s="36"/>
      <c r="J29" s="36"/>
      <c r="K29" s="38"/>
      <c r="L29" s="36"/>
      <c r="M29" s="41"/>
      <c r="N29" s="41"/>
    </row>
    <row r="30" spans="1:14" x14ac:dyDescent="0.2">
      <c r="A30" s="30"/>
      <c r="B30" s="34"/>
      <c r="C30" s="35"/>
      <c r="D30" s="40"/>
      <c r="E30" s="40"/>
      <c r="F30" s="27"/>
      <c r="G30" s="5"/>
      <c r="H30" s="36"/>
      <c r="I30" s="36"/>
      <c r="J30" s="36"/>
      <c r="K30" s="38"/>
      <c r="L30" s="36"/>
      <c r="M30" s="41"/>
      <c r="N30" s="41"/>
    </row>
    <row r="31" spans="1:14" x14ac:dyDescent="0.2">
      <c r="A31" s="30"/>
      <c r="B31" s="30"/>
      <c r="C31" s="29"/>
      <c r="D31" s="42"/>
      <c r="E31" s="42"/>
      <c r="F31" s="27"/>
      <c r="G31" s="6"/>
      <c r="H31" s="31"/>
      <c r="I31" s="31"/>
      <c r="J31" s="31"/>
      <c r="K31" s="23"/>
      <c r="L31" s="31"/>
      <c r="M31" s="33"/>
      <c r="N31" s="33"/>
    </row>
    <row r="32" spans="1:14" x14ac:dyDescent="0.2">
      <c r="A32" s="30"/>
      <c r="B32" s="34"/>
      <c r="C32" s="35"/>
      <c r="D32" s="34"/>
      <c r="E32" s="34"/>
      <c r="F32" s="27"/>
      <c r="G32" s="5"/>
      <c r="H32" s="36"/>
      <c r="I32" s="36"/>
      <c r="J32" s="36"/>
      <c r="K32" s="38"/>
      <c r="L32" s="36"/>
      <c r="M32" s="41"/>
      <c r="N32" s="41"/>
    </row>
    <row r="33" spans="1:14" x14ac:dyDescent="0.2">
      <c r="A33" s="30"/>
      <c r="B33" s="34"/>
      <c r="C33" s="35"/>
      <c r="D33" s="34"/>
      <c r="E33" s="34"/>
      <c r="F33" s="27"/>
      <c r="G33" s="5"/>
      <c r="H33" s="36"/>
      <c r="I33" s="36"/>
      <c r="J33" s="36"/>
      <c r="K33" s="38"/>
      <c r="L33" s="36"/>
      <c r="M33" s="41"/>
      <c r="N33" s="41"/>
    </row>
    <row r="34" spans="1:14" x14ac:dyDescent="0.2">
      <c r="A34" s="30"/>
      <c r="B34" s="30"/>
      <c r="C34" s="35"/>
      <c r="D34" s="42"/>
      <c r="E34" s="42"/>
      <c r="F34" s="27"/>
      <c r="G34" s="6"/>
      <c r="H34" s="31"/>
      <c r="I34" s="31"/>
      <c r="J34" s="31"/>
      <c r="K34" s="23"/>
      <c r="L34" s="31"/>
      <c r="M34" s="33"/>
      <c r="N34" s="33"/>
    </row>
    <row r="35" spans="1:14" x14ac:dyDescent="0.2">
      <c r="A35" s="30"/>
      <c r="B35" s="30"/>
      <c r="C35" s="29"/>
      <c r="D35" s="42"/>
      <c r="E35" s="42"/>
      <c r="F35" s="27"/>
      <c r="G35" s="6"/>
      <c r="H35" s="31"/>
      <c r="I35" s="31"/>
      <c r="J35" s="31"/>
      <c r="K35" s="23"/>
      <c r="L35" s="31"/>
      <c r="M35" s="33"/>
      <c r="N35" s="33"/>
    </row>
    <row r="36" spans="1:14" x14ac:dyDescent="0.2">
      <c r="A36" s="30"/>
      <c r="B36" s="34"/>
      <c r="C36" s="35"/>
      <c r="D36" s="34"/>
      <c r="E36" s="34"/>
      <c r="F36" s="27"/>
      <c r="G36" s="6"/>
      <c r="H36" s="36"/>
      <c r="I36" s="36"/>
      <c r="J36" s="36"/>
      <c r="K36" s="37"/>
      <c r="L36" s="36"/>
      <c r="M36" s="41"/>
      <c r="N36" s="41"/>
    </row>
    <row r="37" spans="1:14" x14ac:dyDescent="0.2">
      <c r="A37" s="30"/>
      <c r="B37" s="30"/>
      <c r="C37" s="29"/>
      <c r="D37" s="42"/>
      <c r="E37" s="42"/>
      <c r="F37" s="27"/>
      <c r="G37" s="6"/>
      <c r="H37" s="31"/>
      <c r="I37" s="31"/>
      <c r="J37" s="31"/>
      <c r="K37" s="23"/>
      <c r="L37" s="31"/>
      <c r="M37" s="33"/>
      <c r="N37" s="33"/>
    </row>
    <row r="38" spans="1:14" x14ac:dyDescent="0.2">
      <c r="A38" s="30"/>
      <c r="B38" s="6"/>
      <c r="C38" s="17"/>
      <c r="D38" s="28"/>
      <c r="E38" s="28"/>
      <c r="F38" s="27"/>
      <c r="G38" s="6"/>
      <c r="H38" s="18"/>
      <c r="I38" s="18"/>
      <c r="J38" s="18"/>
      <c r="K38" s="49"/>
      <c r="L38" s="17"/>
      <c r="M38" s="19"/>
      <c r="N38" s="19"/>
    </row>
    <row r="39" spans="1:14" x14ac:dyDescent="0.2">
      <c r="A39" s="30"/>
      <c r="B39" s="6"/>
      <c r="C39" s="17"/>
      <c r="D39" s="28"/>
      <c r="E39" s="28"/>
      <c r="F39" s="27"/>
      <c r="G39" s="6"/>
      <c r="H39" s="18"/>
      <c r="I39" s="18"/>
      <c r="J39" s="18"/>
      <c r="K39" s="49"/>
      <c r="L39" s="17"/>
      <c r="M39" s="19"/>
      <c r="N39" s="19"/>
    </row>
    <row r="40" spans="1:14" x14ac:dyDescent="0.2">
      <c r="A40" s="30"/>
      <c r="B40" s="6"/>
      <c r="C40" s="17"/>
      <c r="D40" s="28"/>
      <c r="E40" s="28"/>
      <c r="F40" s="27"/>
      <c r="G40" s="6"/>
      <c r="H40" s="18"/>
      <c r="I40" s="18"/>
      <c r="J40" s="18"/>
      <c r="K40" s="49"/>
      <c r="L40" s="17"/>
      <c r="M40" s="19"/>
      <c r="N40" s="19"/>
    </row>
    <row r="41" spans="1:14" x14ac:dyDescent="0.2">
      <c r="A41" s="30"/>
      <c r="B41" s="6"/>
      <c r="C41" s="17"/>
      <c r="D41" s="28"/>
      <c r="E41" s="28"/>
      <c r="F41" s="27"/>
      <c r="G41" s="6"/>
      <c r="H41" s="18"/>
      <c r="I41" s="18"/>
      <c r="J41" s="18"/>
      <c r="K41" s="49"/>
      <c r="L41" s="17"/>
      <c r="M41" s="19"/>
      <c r="N41" s="19"/>
    </row>
    <row r="42" spans="1:14" x14ac:dyDescent="0.2">
      <c r="A42" s="30"/>
      <c r="B42" s="6"/>
      <c r="C42" s="17"/>
      <c r="D42" s="28"/>
      <c r="E42" s="28"/>
      <c r="F42" s="27"/>
      <c r="G42" s="6"/>
      <c r="H42" s="18"/>
      <c r="I42" s="18"/>
      <c r="J42" s="18"/>
      <c r="K42" s="49"/>
      <c r="L42" s="17"/>
      <c r="M42" s="19"/>
      <c r="N42" s="19"/>
    </row>
    <row r="43" spans="1:14" x14ac:dyDescent="0.2">
      <c r="A43" s="30"/>
      <c r="B43" s="6"/>
      <c r="C43" s="17"/>
      <c r="D43" s="28"/>
      <c r="E43" s="28"/>
      <c r="F43" s="27"/>
      <c r="G43" s="6"/>
      <c r="H43" s="18"/>
      <c r="I43" s="18"/>
      <c r="J43" s="18"/>
      <c r="K43" s="49"/>
      <c r="L43" s="17"/>
      <c r="M43" s="19"/>
      <c r="N43" s="19"/>
    </row>
    <row r="44" spans="1:14" x14ac:dyDescent="0.2">
      <c r="A44" s="30"/>
      <c r="B44" s="6"/>
      <c r="C44" s="17"/>
      <c r="D44" s="28"/>
      <c r="E44" s="28"/>
      <c r="F44" s="27"/>
      <c r="G44" s="6"/>
      <c r="H44" s="18"/>
      <c r="I44" s="18"/>
      <c r="J44" s="18"/>
      <c r="K44" s="49"/>
      <c r="L44" s="17"/>
      <c r="M44" s="19"/>
      <c r="N44" s="19"/>
    </row>
    <row r="45" spans="1:14" x14ac:dyDescent="0.2">
      <c r="A45" s="30"/>
      <c r="B45" s="6"/>
      <c r="C45" s="17"/>
      <c r="D45" s="28"/>
      <c r="E45" s="28"/>
      <c r="F45" s="27"/>
      <c r="G45" s="6"/>
      <c r="H45" s="18"/>
      <c r="I45" s="18"/>
      <c r="J45" s="18"/>
      <c r="K45" s="49"/>
      <c r="L45" s="17"/>
      <c r="M45" s="19"/>
      <c r="N45" s="19"/>
    </row>
    <row r="46" spans="1:14" x14ac:dyDescent="0.2">
      <c r="A46" s="30"/>
      <c r="B46" s="6"/>
      <c r="C46" s="17"/>
      <c r="D46" s="28"/>
      <c r="E46" s="28"/>
      <c r="F46" s="27"/>
      <c r="G46" s="6"/>
      <c r="H46" s="18"/>
      <c r="I46" s="18"/>
      <c r="J46" s="18"/>
      <c r="K46" s="49"/>
      <c r="L46" s="17"/>
      <c r="M46" s="19"/>
      <c r="N46" s="19"/>
    </row>
    <row r="47" spans="1:14" x14ac:dyDescent="0.2">
      <c r="A47" s="30"/>
      <c r="B47" s="6"/>
      <c r="C47" s="17"/>
      <c r="D47" s="28"/>
      <c r="E47" s="28"/>
      <c r="F47" s="27"/>
      <c r="G47" s="6"/>
      <c r="H47" s="18"/>
      <c r="I47" s="18"/>
      <c r="J47" s="18"/>
      <c r="K47" s="49"/>
      <c r="L47" s="17"/>
      <c r="M47" s="19"/>
      <c r="N47" s="19"/>
    </row>
    <row r="48" spans="1:14" x14ac:dyDescent="0.2">
      <c r="A48" s="30"/>
      <c r="B48" s="6"/>
      <c r="C48" s="17"/>
      <c r="D48" s="28"/>
      <c r="E48" s="28"/>
      <c r="F48" s="27"/>
      <c r="G48" s="6"/>
      <c r="H48" s="18"/>
      <c r="I48" s="18"/>
      <c r="J48" s="18"/>
      <c r="K48" s="49"/>
      <c r="L48" s="17"/>
      <c r="M48" s="19"/>
      <c r="N48" s="19"/>
    </row>
    <row r="49" spans="1:14" x14ac:dyDescent="0.2">
      <c r="A49" s="30"/>
      <c r="B49" s="6"/>
      <c r="C49" s="17"/>
      <c r="D49" s="28"/>
      <c r="E49" s="28"/>
      <c r="F49" s="27"/>
      <c r="G49" s="6"/>
      <c r="H49" s="18"/>
      <c r="I49" s="18"/>
      <c r="J49" s="18"/>
      <c r="K49" s="49"/>
      <c r="L49" s="17"/>
      <c r="M49" s="19"/>
      <c r="N49" s="19"/>
    </row>
    <row r="50" spans="1:14" x14ac:dyDescent="0.2">
      <c r="A50" s="30"/>
      <c r="B50" s="6"/>
      <c r="C50" s="17"/>
      <c r="D50" s="28"/>
      <c r="E50" s="28"/>
      <c r="F50" s="27"/>
      <c r="G50" s="6"/>
      <c r="H50" s="18"/>
      <c r="I50" s="18"/>
      <c r="J50" s="18"/>
      <c r="K50" s="49"/>
      <c r="L50" s="17"/>
      <c r="M50" s="19"/>
      <c r="N50" s="19"/>
    </row>
    <row r="51" spans="1:14" x14ac:dyDescent="0.2">
      <c r="A51" s="30"/>
      <c r="B51" s="6"/>
      <c r="C51" s="17"/>
      <c r="D51" s="28"/>
      <c r="E51" s="28"/>
      <c r="F51" s="27"/>
      <c r="G51" s="6"/>
      <c r="H51" s="18"/>
      <c r="I51" s="18"/>
      <c r="J51" s="18"/>
      <c r="K51" s="49"/>
      <c r="L51" s="17"/>
      <c r="M51" s="19"/>
      <c r="N51" s="19"/>
    </row>
    <row r="52" spans="1:14" x14ac:dyDescent="0.2">
      <c r="A52" s="30"/>
      <c r="B52" s="6"/>
      <c r="C52" s="17"/>
      <c r="D52" s="28"/>
      <c r="E52" s="28"/>
      <c r="F52" s="27"/>
      <c r="G52" s="6"/>
      <c r="H52" s="18"/>
      <c r="I52" s="18"/>
      <c r="J52" s="18"/>
      <c r="K52" s="49"/>
      <c r="L52" s="17"/>
      <c r="M52" s="19"/>
      <c r="N52" s="19"/>
    </row>
    <row r="53" spans="1:14" x14ac:dyDescent="0.2">
      <c r="A53" s="30"/>
      <c r="B53" s="6"/>
      <c r="C53" s="17"/>
      <c r="D53" s="28"/>
      <c r="E53" s="28"/>
      <c r="F53" s="27"/>
      <c r="G53" s="6"/>
      <c r="H53" s="18"/>
      <c r="I53" s="18"/>
      <c r="J53" s="18"/>
      <c r="K53" s="49"/>
      <c r="L53" s="17"/>
      <c r="M53" s="19"/>
      <c r="N53" s="19"/>
    </row>
    <row r="54" spans="1:14" x14ac:dyDescent="0.2">
      <c r="A54" s="30"/>
      <c r="B54" s="6"/>
      <c r="C54" s="17"/>
      <c r="D54" s="28"/>
      <c r="E54" s="28"/>
      <c r="F54" s="27"/>
      <c r="G54" s="6"/>
      <c r="H54" s="18"/>
      <c r="I54" s="18"/>
      <c r="J54" s="18"/>
      <c r="K54" s="49"/>
      <c r="L54" s="17"/>
      <c r="M54" s="19"/>
      <c r="N54" s="19"/>
    </row>
    <row r="55" spans="1:14" x14ac:dyDescent="0.2">
      <c r="A55" s="30"/>
      <c r="B55" s="6"/>
      <c r="C55" s="17"/>
      <c r="D55" s="28"/>
      <c r="E55" s="28"/>
      <c r="F55" s="27"/>
      <c r="G55" s="6"/>
      <c r="H55" s="18"/>
      <c r="I55" s="18"/>
      <c r="J55" s="18"/>
      <c r="K55" s="49"/>
      <c r="L55" s="17"/>
      <c r="M55" s="19"/>
      <c r="N55" s="19"/>
    </row>
    <row r="56" spans="1:14" x14ac:dyDescent="0.2">
      <c r="A56" s="30"/>
      <c r="B56" s="6"/>
      <c r="C56" s="17"/>
      <c r="D56" s="28"/>
      <c r="E56" s="28"/>
      <c r="F56" s="27"/>
      <c r="G56" s="6"/>
      <c r="H56" s="18"/>
      <c r="I56" s="18"/>
      <c r="J56" s="18"/>
      <c r="K56" s="49"/>
      <c r="L56" s="17"/>
      <c r="M56" s="19"/>
      <c r="N56" s="19"/>
    </row>
    <row r="57" spans="1:14" x14ac:dyDescent="0.2">
      <c r="A57" s="30"/>
      <c r="B57" s="6"/>
      <c r="C57" s="17"/>
      <c r="D57" s="28"/>
      <c r="E57" s="28"/>
      <c r="F57" s="27"/>
      <c r="G57" s="6"/>
      <c r="H57" s="18"/>
      <c r="I57" s="18"/>
      <c r="J57" s="18"/>
      <c r="K57" s="49"/>
      <c r="L57" s="17"/>
      <c r="M57" s="19"/>
      <c r="N57" s="19"/>
    </row>
    <row r="58" spans="1:14" x14ac:dyDescent="0.2">
      <c r="A58" s="30"/>
      <c r="B58" s="6"/>
      <c r="C58" s="17"/>
      <c r="D58" s="28"/>
      <c r="E58" s="28"/>
      <c r="F58" s="27"/>
      <c r="G58" s="6"/>
      <c r="H58" s="18"/>
      <c r="I58" s="18"/>
      <c r="J58" s="18"/>
      <c r="K58" s="49"/>
      <c r="L58" s="17"/>
      <c r="M58" s="19"/>
      <c r="N58" s="19"/>
    </row>
    <row r="59" spans="1:14" x14ac:dyDescent="0.2">
      <c r="A59" s="30"/>
      <c r="B59" s="6"/>
      <c r="C59" s="17"/>
      <c r="D59" s="28"/>
      <c r="E59" s="28"/>
      <c r="F59" s="27"/>
      <c r="G59" s="6"/>
      <c r="H59" s="18"/>
      <c r="I59" s="18"/>
      <c r="J59" s="18"/>
      <c r="K59" s="49"/>
      <c r="L59" s="17"/>
      <c r="M59" s="19"/>
      <c r="N59" s="19"/>
    </row>
    <row r="60" spans="1:14" x14ac:dyDescent="0.2">
      <c r="A60" s="30"/>
      <c r="B60" s="6"/>
      <c r="C60" s="17"/>
      <c r="D60" s="28"/>
      <c r="E60" s="28"/>
      <c r="F60" s="27"/>
      <c r="G60" s="6"/>
      <c r="H60" s="18"/>
      <c r="I60" s="18"/>
      <c r="J60" s="18"/>
      <c r="K60" s="49"/>
      <c r="L60" s="17"/>
      <c r="M60" s="19"/>
      <c r="N60" s="19"/>
    </row>
    <row r="61" spans="1:14" x14ac:dyDescent="0.2">
      <c r="A61" s="30"/>
      <c r="B61" s="6"/>
      <c r="C61" s="17"/>
      <c r="D61" s="28"/>
      <c r="E61" s="28"/>
      <c r="F61" s="27"/>
      <c r="G61" s="6"/>
      <c r="H61" s="18"/>
      <c r="I61" s="18"/>
      <c r="J61" s="18"/>
      <c r="K61" s="49"/>
      <c r="L61" s="17"/>
      <c r="M61" s="19"/>
      <c r="N61" s="19"/>
    </row>
    <row r="62" spans="1:14" x14ac:dyDescent="0.2">
      <c r="A62" s="30"/>
      <c r="B62" s="6"/>
      <c r="C62" s="17"/>
      <c r="D62" s="28"/>
      <c r="E62" s="28"/>
      <c r="F62" s="27"/>
      <c r="G62" s="6"/>
      <c r="H62" s="18"/>
      <c r="I62" s="18"/>
      <c r="J62" s="18"/>
      <c r="K62" s="49"/>
      <c r="L62" s="17"/>
      <c r="M62" s="19"/>
      <c r="N62" s="19"/>
    </row>
    <row r="63" spans="1:14" x14ac:dyDescent="0.2">
      <c r="A63" s="30"/>
      <c r="B63" s="6"/>
      <c r="C63" s="17"/>
      <c r="D63" s="28"/>
      <c r="E63" s="28"/>
      <c r="F63" s="27"/>
      <c r="G63" s="6"/>
      <c r="H63" s="18"/>
      <c r="I63" s="18"/>
      <c r="J63" s="18"/>
      <c r="K63" s="49"/>
      <c r="L63" s="17"/>
      <c r="M63" s="19"/>
      <c r="N63" s="19"/>
    </row>
    <row r="64" spans="1:14"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row r="137" spans="1:14" x14ac:dyDescent="0.2">
      <c r="A137" s="30"/>
      <c r="B137" s="6"/>
      <c r="C137" s="17"/>
      <c r="D137" s="28"/>
      <c r="E137" s="28"/>
      <c r="F137" s="27"/>
      <c r="G137" s="6"/>
      <c r="H137" s="18"/>
      <c r="I137" s="18"/>
      <c r="J137" s="18"/>
      <c r="K137" s="49"/>
      <c r="L137" s="17"/>
      <c r="M137" s="19"/>
      <c r="N137" s="19"/>
    </row>
    <row r="138" spans="1:14" x14ac:dyDescent="0.2">
      <c r="A138" s="30"/>
      <c r="B138" s="6"/>
      <c r="C138" s="17"/>
      <c r="D138" s="28"/>
      <c r="E138" s="28"/>
      <c r="F138" s="27"/>
      <c r="G138" s="6"/>
      <c r="H138" s="18"/>
      <c r="I138" s="18"/>
      <c r="J138" s="18"/>
      <c r="K138" s="49"/>
      <c r="L138" s="17"/>
      <c r="M138" s="19"/>
      <c r="N138" s="19"/>
    </row>
    <row r="139" spans="1:14" x14ac:dyDescent="0.2">
      <c r="A139" s="30"/>
      <c r="B139" s="6"/>
      <c r="C139" s="17"/>
      <c r="D139" s="28"/>
      <c r="E139" s="28"/>
      <c r="F139" s="27"/>
      <c r="G139" s="6"/>
      <c r="H139" s="18"/>
      <c r="I139" s="18"/>
      <c r="J139" s="18"/>
      <c r="K139" s="49"/>
      <c r="L139" s="17"/>
      <c r="M139" s="19"/>
      <c r="N139" s="19"/>
    </row>
    <row r="140" spans="1:14" x14ac:dyDescent="0.2">
      <c r="A140" s="30"/>
      <c r="B140" s="6"/>
      <c r="C140" s="17"/>
      <c r="D140" s="28"/>
      <c r="E140" s="28"/>
      <c r="F140" s="27"/>
      <c r="G140" s="6"/>
      <c r="H140" s="18"/>
      <c r="I140" s="18"/>
      <c r="J140" s="18"/>
      <c r="K140" s="49"/>
      <c r="L140" s="17"/>
      <c r="M140" s="19"/>
      <c r="N140" s="19"/>
    </row>
  </sheetData>
  <mergeCells count="3">
    <mergeCell ref="F1:F2"/>
    <mergeCell ref="A14:L14"/>
    <mergeCell ref="A12:Q12"/>
  </mergeCells>
  <phoneticPr fontId="1" type="noConversion"/>
  <conditionalFormatting sqref="L13:L14">
    <cfRule type="dataBar" priority="1">
      <dataBar>
        <cfvo type="num" val="0"/>
        <cfvo type="num" val="1"/>
        <color theme="5"/>
      </dataBar>
      <extLst>
        <ext xmlns:x14="http://schemas.microsoft.com/office/spreadsheetml/2009/9/main" uri="{B025F937-C7B1-47D3-B67F-A62EFF666E3E}">
          <x14:id>{A1C92ADA-DB19-AA48-96CB-94A325B14E9C}</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A1C92ADA-DB19-AA48-96CB-94A325B14E9C}">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L13:L14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4FE883D-9BBD-AE4F-8813-27BD6021137A}">
          <x14:formula1>
            <xm:f>Dropdowns!$I$2:$I$15</xm:f>
          </x14:formula1>
          <xm:sqref>G4:G9 G11 G15:G140</xm:sqref>
        </x14:dataValidation>
        <x14:dataValidation type="list" allowBlank="1" showInputMessage="1" showErrorMessage="1" xr:uid="{E7991C41-B192-8A4A-9084-9D92C9ABD52B}">
          <x14:formula1>
            <xm:f>Dropdowns!$C$2:$C$7</xm:f>
          </x14:formula1>
          <xm:sqref>B4:B9 B15:B140 B11</xm:sqref>
        </x14:dataValidation>
        <x14:dataValidation type="list" allowBlank="1" showInputMessage="1" showErrorMessage="1" xr:uid="{C4B9A674-1E58-B449-B7B6-485C4E77BB6A}">
          <x14:formula1>
            <xm:f>Dropdowns!$K$2:$K$4</xm:f>
          </x14:formula1>
          <xm:sqref>K37:K140 K15:K35 K11</xm:sqref>
        </x14:dataValidation>
        <x14:dataValidation type="list" allowBlank="1" showInputMessage="1" showErrorMessage="1" xr:uid="{B12E16BB-DACC-C347-8090-3143EF448BCD}">
          <x14:formula1>
            <xm:f>Dropdowns!$K$2:$K$5</xm:f>
          </x14:formula1>
          <xm:sqref>K4:K9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BE61-E850-1848-8FE5-5B2D630B79A1}">
  <dimension ref="A1:O138"/>
  <sheetViews>
    <sheetView showGridLines="0" zoomScale="120" zoomScaleNormal="120" workbookViewId="0">
      <pane xSplit="1" ySplit="3" topLeftCell="B4" activePane="bottomRight" state="frozen"/>
      <selection pane="topRight" activeCell="B1" sqref="B1"/>
      <selection pane="bottomLeft" activeCell="A4" sqref="A4"/>
      <selection pane="bottomRight" activeCell="A10" sqref="A10:O10"/>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5" bestFit="1" customWidth="1"/>
    <col min="6" max="6" width="14.1640625" bestFit="1" customWidth="1"/>
    <col min="8" max="10" width="30.6640625" customWidth="1"/>
    <col min="11" max="11" width="16" customWidth="1"/>
    <col min="12" max="12" width="51.83203125" customWidth="1"/>
    <col min="13" max="13" width="32.83203125" bestFit="1" customWidth="1"/>
    <col min="14" max="14" width="23.5" bestFit="1" customWidth="1"/>
  </cols>
  <sheetData>
    <row r="1" spans="1:15" x14ac:dyDescent="0.2">
      <c r="D1" s="53" t="s">
        <v>231</v>
      </c>
      <c r="F1" s="232">
        <v>17.61</v>
      </c>
    </row>
    <row r="2" spans="1:15" ht="16" thickBot="1" x14ac:dyDescent="0.25">
      <c r="D2" s="55">
        <v>0.76</v>
      </c>
      <c r="F2" s="233"/>
    </row>
    <row r="3" spans="1:15" ht="16" x14ac:dyDescent="0.2">
      <c r="A3" t="s">
        <v>104</v>
      </c>
      <c r="B3" s="105" t="s">
        <v>467</v>
      </c>
      <c r="C3" s="106" t="s">
        <v>469</v>
      </c>
      <c r="D3" s="44" t="s">
        <v>176</v>
      </c>
      <c r="E3" s="44" t="s">
        <v>230</v>
      </c>
      <c r="F3" s="44" t="s">
        <v>38</v>
      </c>
      <c r="G3" s="44" t="s">
        <v>95</v>
      </c>
      <c r="H3" s="107" t="s">
        <v>350</v>
      </c>
      <c r="I3" s="126" t="s">
        <v>565</v>
      </c>
      <c r="J3" s="126" t="s">
        <v>566</v>
      </c>
      <c r="K3" s="108" t="s">
        <v>470</v>
      </c>
      <c r="L3" s="109" t="s">
        <v>472</v>
      </c>
      <c r="M3" s="45" t="s">
        <v>496</v>
      </c>
      <c r="N3" s="45" t="s">
        <v>497</v>
      </c>
    </row>
    <row r="4" spans="1:15" ht="192" x14ac:dyDescent="0.2">
      <c r="A4" s="65" t="s">
        <v>186</v>
      </c>
      <c r="B4" s="65" t="s">
        <v>72</v>
      </c>
      <c r="C4" s="63" t="s">
        <v>32</v>
      </c>
      <c r="D4" s="68">
        <f>Table81012131415[[#This Row],[CAD - Amount]]*$D$2</f>
        <v>600400</v>
      </c>
      <c r="E4" s="68">
        <v>790000</v>
      </c>
      <c r="F4" s="67">
        <f>Table81012131415[[#This Row],[Total US$ ]]*$F$1</f>
        <v>10573044</v>
      </c>
      <c r="G4" s="65" t="s">
        <v>88</v>
      </c>
      <c r="H4" s="76" t="s">
        <v>375</v>
      </c>
      <c r="I4" s="76"/>
      <c r="J4" s="76"/>
      <c r="K4" s="84" t="s">
        <v>494</v>
      </c>
      <c r="L4" s="63" t="s">
        <v>342</v>
      </c>
      <c r="M4" s="85">
        <v>44501</v>
      </c>
      <c r="N4" s="85">
        <v>45626</v>
      </c>
    </row>
    <row r="5" spans="1:15" ht="240" x14ac:dyDescent="0.2">
      <c r="A5" s="65" t="s">
        <v>187</v>
      </c>
      <c r="B5" s="65" t="s">
        <v>72</v>
      </c>
      <c r="C5" s="63" t="s">
        <v>32</v>
      </c>
      <c r="D5" s="68">
        <f>Table81012131415[[#This Row],[CAD - Amount]]*$D$2</f>
        <v>190000</v>
      </c>
      <c r="E5" s="68">
        <v>250000</v>
      </c>
      <c r="F5" s="67">
        <f>Table81012131415[[#This Row],[Total US$ ]]*$F$1</f>
        <v>3345900</v>
      </c>
      <c r="G5" s="65" t="s">
        <v>88</v>
      </c>
      <c r="H5" s="76" t="s">
        <v>98</v>
      </c>
      <c r="I5" s="76"/>
      <c r="J5" s="76"/>
      <c r="K5" s="84" t="s">
        <v>494</v>
      </c>
      <c r="L5" s="63" t="s">
        <v>343</v>
      </c>
      <c r="M5" s="85">
        <v>44501</v>
      </c>
      <c r="N5" s="85">
        <v>45626</v>
      </c>
    </row>
    <row r="6" spans="1:15" ht="335" x14ac:dyDescent="0.2">
      <c r="A6" s="65" t="s">
        <v>188</v>
      </c>
      <c r="B6" s="65" t="s">
        <v>72</v>
      </c>
      <c r="C6" s="63" t="s">
        <v>32</v>
      </c>
      <c r="D6" s="68">
        <f>Table81012131415[[#This Row],[CAD - Amount]]*$D$2</f>
        <v>304000</v>
      </c>
      <c r="E6" s="68">
        <v>400000</v>
      </c>
      <c r="F6" s="67">
        <f>Table81012131415[[#This Row],[Total US$ ]]*$F$1</f>
        <v>5353440</v>
      </c>
      <c r="G6" s="65" t="s">
        <v>88</v>
      </c>
      <c r="H6" s="76" t="s">
        <v>99</v>
      </c>
      <c r="I6" s="76"/>
      <c r="J6" s="76"/>
      <c r="K6" s="84" t="s">
        <v>494</v>
      </c>
      <c r="L6" s="63" t="s">
        <v>344</v>
      </c>
      <c r="M6" s="85">
        <v>44927</v>
      </c>
      <c r="N6" s="85">
        <v>46203</v>
      </c>
    </row>
    <row r="7" spans="1:15" ht="335" x14ac:dyDescent="0.2">
      <c r="A7" s="65" t="s">
        <v>189</v>
      </c>
      <c r="B7" s="65" t="s">
        <v>72</v>
      </c>
      <c r="C7" s="63" t="s">
        <v>32</v>
      </c>
      <c r="D7" s="68">
        <f>Table81012131415[[#This Row],[CAD - Amount]]*$D$2</f>
        <v>159600</v>
      </c>
      <c r="E7" s="68">
        <v>210000</v>
      </c>
      <c r="F7" s="67">
        <f>Table81012131415[[#This Row],[Total US$ ]]*$F$1</f>
        <v>2810556</v>
      </c>
      <c r="G7" s="65" t="s">
        <v>88</v>
      </c>
      <c r="H7" s="76" t="s">
        <v>287</v>
      </c>
      <c r="I7" s="76"/>
      <c r="J7" s="76"/>
      <c r="K7" s="84" t="s">
        <v>494</v>
      </c>
      <c r="L7" s="63" t="s">
        <v>345</v>
      </c>
      <c r="M7" s="85">
        <v>44986</v>
      </c>
      <c r="N7" s="85">
        <v>46203</v>
      </c>
    </row>
    <row r="8" spans="1:15" x14ac:dyDescent="0.2">
      <c r="A8" s="65"/>
      <c r="B8" s="65"/>
      <c r="C8" s="62"/>
      <c r="D8" s="66">
        <f>SUBTOTAL(109,Table81012131415[Total US$ ])</f>
        <v>1254000</v>
      </c>
      <c r="E8" s="66">
        <f>SUBTOTAL(109,Table81012131415[CAD - Amount])</f>
        <v>1650000</v>
      </c>
      <c r="F8" s="79">
        <f>SUBTOTAL(109,Table81012131415[Total ZAR])</f>
        <v>22082940</v>
      </c>
      <c r="G8" s="6"/>
      <c r="H8" s="46"/>
      <c r="I8" s="46"/>
      <c r="J8" s="46"/>
      <c r="K8" s="48"/>
      <c r="L8" s="24"/>
      <c r="M8" s="47"/>
      <c r="N8" s="47"/>
    </row>
    <row r="9" spans="1:15" x14ac:dyDescent="0.2">
      <c r="A9" s="30"/>
      <c r="B9" s="22"/>
      <c r="C9" s="12"/>
      <c r="D9" s="25"/>
      <c r="E9" s="25"/>
      <c r="F9" s="27"/>
      <c r="G9" s="6"/>
      <c r="H9" s="7"/>
      <c r="I9" s="7"/>
      <c r="J9" s="7"/>
      <c r="K9" s="23"/>
      <c r="L9" s="7"/>
      <c r="M9" s="14"/>
      <c r="N9" s="14"/>
    </row>
    <row r="10" spans="1:15" ht="27" customHeight="1" x14ac:dyDescent="0.2">
      <c r="A10" s="230" t="s">
        <v>676</v>
      </c>
      <c r="B10" s="230"/>
      <c r="C10" s="230"/>
      <c r="D10" s="230"/>
      <c r="E10" s="230"/>
      <c r="F10" s="230"/>
      <c r="G10" s="230"/>
      <c r="H10" s="230"/>
      <c r="I10" s="230"/>
      <c r="J10" s="230"/>
      <c r="K10" s="230"/>
      <c r="L10" s="230"/>
      <c r="M10" s="230"/>
      <c r="N10" s="230"/>
      <c r="O10" s="230"/>
    </row>
    <row r="11" spans="1:15" x14ac:dyDescent="0.2">
      <c r="B11" s="1"/>
      <c r="E11" s="1"/>
      <c r="F11" s="1"/>
      <c r="G11" s="8"/>
      <c r="H11" s="1"/>
      <c r="I11" s="1"/>
      <c r="J11" s="1"/>
      <c r="K11" s="3"/>
      <c r="M11" s="17"/>
      <c r="N11" s="19"/>
      <c r="O11" s="19"/>
    </row>
    <row r="12" spans="1:15" ht="15" customHeight="1" x14ac:dyDescent="0.2">
      <c r="A12" s="230" t="s">
        <v>561</v>
      </c>
      <c r="B12" s="230"/>
      <c r="C12" s="230"/>
      <c r="D12" s="230"/>
      <c r="E12" s="230"/>
      <c r="F12" s="230"/>
      <c r="G12" s="230"/>
      <c r="H12" s="230"/>
      <c r="I12" s="230"/>
      <c r="J12" s="230"/>
      <c r="K12" s="230"/>
      <c r="L12" s="230"/>
      <c r="M12" s="17"/>
      <c r="N12" s="19"/>
      <c r="O12" s="19"/>
    </row>
    <row r="13" spans="1:15" x14ac:dyDescent="0.2">
      <c r="A13" s="30"/>
      <c r="B13" s="6"/>
      <c r="C13" s="13"/>
      <c r="D13" s="26"/>
      <c r="E13" s="26"/>
      <c r="F13" s="27"/>
      <c r="G13" s="6"/>
      <c r="H13" s="15"/>
      <c r="I13" s="15"/>
      <c r="J13" s="15"/>
      <c r="K13" s="23"/>
      <c r="L13" s="15"/>
      <c r="M13" s="16"/>
      <c r="N13" s="16"/>
    </row>
    <row r="14" spans="1:15" x14ac:dyDescent="0.2">
      <c r="A14" s="2" t="s">
        <v>502</v>
      </c>
      <c r="B14" s="6"/>
      <c r="C14" s="13"/>
      <c r="D14" s="26"/>
      <c r="E14" s="26"/>
      <c r="F14" s="27"/>
      <c r="G14" s="6"/>
      <c r="H14" s="15"/>
      <c r="I14" s="15"/>
      <c r="J14" s="15"/>
      <c r="K14" s="23"/>
      <c r="L14" s="15"/>
      <c r="M14" s="16"/>
      <c r="N14" s="16"/>
    </row>
    <row r="15" spans="1:15" x14ac:dyDescent="0.2">
      <c r="A15" s="30"/>
      <c r="B15" s="22"/>
      <c r="C15" s="13"/>
      <c r="D15" s="26"/>
      <c r="E15" s="26"/>
      <c r="F15" s="27"/>
      <c r="G15" s="5"/>
      <c r="H15" s="15"/>
      <c r="I15" s="15"/>
      <c r="J15" s="15"/>
      <c r="K15" s="23"/>
      <c r="L15" s="15"/>
      <c r="M15" s="16"/>
      <c r="N15" s="16"/>
    </row>
    <row r="16" spans="1:15" x14ac:dyDescent="0.2">
      <c r="A16" s="30"/>
      <c r="B16" s="22"/>
      <c r="C16" s="12"/>
      <c r="D16" s="25"/>
      <c r="E16" s="25"/>
      <c r="F16" s="27"/>
      <c r="G16" s="5"/>
      <c r="H16" s="7"/>
      <c r="I16" s="7"/>
      <c r="J16" s="7"/>
      <c r="K16" s="23"/>
      <c r="L16" s="7"/>
      <c r="M16" s="16"/>
      <c r="N16" s="14"/>
    </row>
    <row r="17" spans="1:14" x14ac:dyDescent="0.2">
      <c r="A17" s="30"/>
      <c r="B17" s="22"/>
      <c r="C17" s="12"/>
      <c r="D17" s="25"/>
      <c r="E17" s="25"/>
      <c r="F17" s="27"/>
      <c r="G17" s="5"/>
      <c r="H17" s="7"/>
      <c r="I17" s="7"/>
      <c r="J17" s="7"/>
      <c r="K17" s="23"/>
      <c r="L17" s="12"/>
      <c r="M17" s="16"/>
      <c r="N17" s="14"/>
    </row>
    <row r="18" spans="1:14" x14ac:dyDescent="0.2">
      <c r="A18" s="30"/>
      <c r="B18" s="22"/>
      <c r="C18" s="12"/>
      <c r="D18" s="25"/>
      <c r="E18" s="25"/>
      <c r="F18" s="27"/>
      <c r="G18" s="6"/>
      <c r="H18" s="7"/>
      <c r="I18" s="7"/>
      <c r="J18" s="7"/>
      <c r="K18" s="23"/>
      <c r="L18" s="12"/>
      <c r="M18" s="14"/>
      <c r="N18" s="14"/>
    </row>
    <row r="19" spans="1:14" x14ac:dyDescent="0.2">
      <c r="A19" s="30"/>
      <c r="B19" s="22"/>
      <c r="C19" s="12"/>
      <c r="D19" s="25"/>
      <c r="E19" s="25"/>
      <c r="F19" s="27"/>
      <c r="G19" s="6"/>
      <c r="H19" s="7"/>
      <c r="I19" s="7"/>
      <c r="J19" s="7"/>
      <c r="K19" s="23"/>
      <c r="L19" s="12"/>
      <c r="M19" s="14"/>
      <c r="N19" s="14"/>
    </row>
    <row r="20" spans="1:14" x14ac:dyDescent="0.2">
      <c r="A20" s="30"/>
      <c r="B20" s="22"/>
      <c r="C20" s="12"/>
      <c r="D20" s="25"/>
      <c r="E20" s="25"/>
      <c r="F20" s="27"/>
      <c r="G20" s="6"/>
      <c r="H20" s="7"/>
      <c r="I20" s="7"/>
      <c r="J20" s="7"/>
      <c r="K20" s="23"/>
      <c r="L20" s="12"/>
      <c r="M20" s="14"/>
      <c r="N20" s="14"/>
    </row>
    <row r="21" spans="1:14" x14ac:dyDescent="0.2">
      <c r="A21" s="30"/>
      <c r="B21" s="22"/>
      <c r="C21" s="12"/>
      <c r="D21" s="25"/>
      <c r="E21" s="25"/>
      <c r="F21" s="27"/>
      <c r="G21" s="6"/>
      <c r="H21" s="7"/>
      <c r="I21" s="7"/>
      <c r="J21" s="7"/>
      <c r="K21" s="23"/>
      <c r="L21" s="7"/>
      <c r="M21" s="14"/>
      <c r="N21" s="14"/>
    </row>
    <row r="22" spans="1:14" x14ac:dyDescent="0.2">
      <c r="A22" s="30"/>
      <c r="B22" s="22"/>
      <c r="C22" s="12"/>
      <c r="D22" s="25"/>
      <c r="E22" s="25"/>
      <c r="F22" s="27"/>
      <c r="G22" s="6"/>
      <c r="H22" s="7"/>
      <c r="I22" s="7"/>
      <c r="J22" s="7"/>
      <c r="K22" s="23"/>
      <c r="L22" s="7"/>
      <c r="M22" s="14"/>
      <c r="N22" s="14"/>
    </row>
    <row r="23" spans="1:14" x14ac:dyDescent="0.2">
      <c r="A23" s="30"/>
      <c r="B23" s="22"/>
      <c r="C23" s="12"/>
      <c r="D23" s="25"/>
      <c r="E23" s="25"/>
      <c r="F23" s="27"/>
      <c r="G23" s="6"/>
      <c r="H23" s="7"/>
      <c r="I23" s="7"/>
      <c r="J23" s="7"/>
      <c r="K23" s="23"/>
      <c r="L23" s="12"/>
      <c r="M23" s="16"/>
      <c r="N23" s="14"/>
    </row>
    <row r="24" spans="1:14" x14ac:dyDescent="0.2">
      <c r="A24" s="30"/>
      <c r="B24" s="22"/>
      <c r="C24" s="12"/>
      <c r="D24" s="25"/>
      <c r="E24" s="25"/>
      <c r="F24" s="27"/>
      <c r="G24" s="6"/>
      <c r="H24" s="7"/>
      <c r="I24" s="7"/>
      <c r="J24" s="7"/>
      <c r="K24" s="23"/>
      <c r="L24" s="7"/>
      <c r="M24" s="14"/>
      <c r="N24" s="14"/>
    </row>
    <row r="25" spans="1:14" x14ac:dyDescent="0.2">
      <c r="A25" s="30"/>
      <c r="B25" s="34"/>
      <c r="C25" s="34"/>
      <c r="D25" s="40"/>
      <c r="E25" s="40"/>
      <c r="F25" s="27"/>
      <c r="G25" s="5"/>
      <c r="H25" s="36"/>
      <c r="I25" s="36"/>
      <c r="J25" s="36"/>
      <c r="K25" s="38"/>
      <c r="L25" s="36"/>
      <c r="M25" s="41"/>
      <c r="N25" s="41"/>
    </row>
    <row r="26" spans="1:14" x14ac:dyDescent="0.2">
      <c r="A26" s="30"/>
      <c r="B26" s="30"/>
      <c r="C26" s="6"/>
      <c r="D26" s="42"/>
      <c r="E26" s="42"/>
      <c r="F26" s="27"/>
      <c r="G26" s="5"/>
      <c r="H26" s="31"/>
      <c r="I26" s="31"/>
      <c r="J26" s="31"/>
      <c r="K26" s="23"/>
      <c r="L26" s="31"/>
      <c r="M26" s="33"/>
      <c r="N26" s="33"/>
    </row>
    <row r="27" spans="1:14" x14ac:dyDescent="0.2">
      <c r="A27" s="30"/>
      <c r="B27" s="34"/>
      <c r="C27" s="5"/>
      <c r="D27" s="40"/>
      <c r="E27" s="40"/>
      <c r="F27" s="27"/>
      <c r="G27" s="5"/>
      <c r="H27" s="36"/>
      <c r="I27" s="36"/>
      <c r="J27" s="36"/>
      <c r="K27" s="38"/>
      <c r="L27" s="36"/>
      <c r="M27" s="41"/>
      <c r="N27" s="41"/>
    </row>
    <row r="28" spans="1:14" x14ac:dyDescent="0.2">
      <c r="A28" s="30"/>
      <c r="B28" s="34"/>
      <c r="C28" s="35"/>
      <c r="D28" s="40"/>
      <c r="E28" s="40"/>
      <c r="F28" s="27"/>
      <c r="G28" s="5"/>
      <c r="H28" s="36"/>
      <c r="I28" s="36"/>
      <c r="J28" s="36"/>
      <c r="K28" s="38"/>
      <c r="L28" s="36"/>
      <c r="M28" s="41"/>
      <c r="N28" s="41"/>
    </row>
    <row r="29" spans="1:14" x14ac:dyDescent="0.2">
      <c r="A29" s="30"/>
      <c r="B29" s="30"/>
      <c r="C29" s="29"/>
      <c r="D29" s="42"/>
      <c r="E29" s="42"/>
      <c r="F29" s="27"/>
      <c r="G29" s="6"/>
      <c r="H29" s="31"/>
      <c r="I29" s="31"/>
      <c r="J29" s="31"/>
      <c r="K29" s="23"/>
      <c r="L29" s="31"/>
      <c r="M29" s="33"/>
      <c r="N29" s="33"/>
    </row>
    <row r="30" spans="1:14" x14ac:dyDescent="0.2">
      <c r="A30" s="30"/>
      <c r="B30" s="34"/>
      <c r="C30" s="35"/>
      <c r="D30" s="34"/>
      <c r="E30" s="34"/>
      <c r="F30" s="27"/>
      <c r="G30" s="5"/>
      <c r="H30" s="36"/>
      <c r="I30" s="36"/>
      <c r="J30" s="36"/>
      <c r="K30" s="38"/>
      <c r="L30" s="36"/>
      <c r="M30" s="41"/>
      <c r="N30" s="41"/>
    </row>
    <row r="31" spans="1:14" x14ac:dyDescent="0.2">
      <c r="A31" s="30"/>
      <c r="B31" s="34"/>
      <c r="C31" s="35"/>
      <c r="D31" s="34"/>
      <c r="E31" s="34"/>
      <c r="F31" s="27"/>
      <c r="G31" s="5"/>
      <c r="H31" s="36"/>
      <c r="I31" s="36"/>
      <c r="J31" s="36"/>
      <c r="K31" s="38"/>
      <c r="L31" s="36"/>
      <c r="M31" s="41"/>
      <c r="N31" s="41"/>
    </row>
    <row r="32" spans="1:14" x14ac:dyDescent="0.2">
      <c r="A32" s="30"/>
      <c r="B32" s="30"/>
      <c r="C32" s="35"/>
      <c r="D32" s="42"/>
      <c r="E32" s="42"/>
      <c r="F32" s="27"/>
      <c r="G32" s="6"/>
      <c r="H32" s="31"/>
      <c r="I32" s="31"/>
      <c r="J32" s="31"/>
      <c r="K32" s="23"/>
      <c r="L32" s="31"/>
      <c r="M32" s="33"/>
      <c r="N32" s="33"/>
    </row>
    <row r="33" spans="1:14" x14ac:dyDescent="0.2">
      <c r="A33" s="30"/>
      <c r="B33" s="30"/>
      <c r="C33" s="29"/>
      <c r="D33" s="42"/>
      <c r="E33" s="42"/>
      <c r="F33" s="27"/>
      <c r="G33" s="6"/>
      <c r="H33" s="31"/>
      <c r="I33" s="31"/>
      <c r="J33" s="31"/>
      <c r="K33" s="23"/>
      <c r="L33" s="31"/>
      <c r="M33" s="33"/>
      <c r="N33" s="33"/>
    </row>
    <row r="34" spans="1:14" x14ac:dyDescent="0.2">
      <c r="A34" s="30"/>
      <c r="B34" s="34"/>
      <c r="C34" s="35"/>
      <c r="D34" s="34"/>
      <c r="E34" s="34"/>
      <c r="F34" s="27"/>
      <c r="G34" s="6"/>
      <c r="H34" s="36"/>
      <c r="I34" s="36"/>
      <c r="J34" s="36"/>
      <c r="K34" s="37"/>
      <c r="L34" s="36"/>
      <c r="M34" s="41"/>
      <c r="N34" s="41"/>
    </row>
    <row r="35" spans="1:14" x14ac:dyDescent="0.2">
      <c r="A35" s="30"/>
      <c r="B35" s="30"/>
      <c r="C35" s="29"/>
      <c r="D35" s="42"/>
      <c r="E35" s="42"/>
      <c r="F35" s="27"/>
      <c r="G35" s="6"/>
      <c r="H35" s="31"/>
      <c r="I35" s="31"/>
      <c r="J35" s="31"/>
      <c r="K35" s="23"/>
      <c r="L35" s="31"/>
      <c r="M35" s="33"/>
      <c r="N35" s="33"/>
    </row>
    <row r="36" spans="1:14" x14ac:dyDescent="0.2">
      <c r="A36" s="30"/>
      <c r="B36" s="6"/>
      <c r="C36" s="17"/>
      <c r="D36" s="28"/>
      <c r="E36" s="28"/>
      <c r="F36" s="27"/>
      <c r="G36" s="6"/>
      <c r="H36" s="18"/>
      <c r="I36" s="18"/>
      <c r="J36" s="18"/>
      <c r="K36" s="49"/>
      <c r="L36" s="17"/>
      <c r="M36" s="19"/>
      <c r="N36" s="19"/>
    </row>
    <row r="37" spans="1:14" x14ac:dyDescent="0.2">
      <c r="A37" s="30"/>
      <c r="B37" s="6"/>
      <c r="C37" s="17"/>
      <c r="D37" s="28"/>
      <c r="E37" s="28"/>
      <c r="F37" s="27"/>
      <c r="G37" s="6"/>
      <c r="H37" s="18"/>
      <c r="I37" s="18"/>
      <c r="J37" s="18"/>
      <c r="K37" s="49"/>
      <c r="L37" s="17"/>
      <c r="M37" s="19"/>
      <c r="N37" s="19"/>
    </row>
    <row r="38" spans="1:14" x14ac:dyDescent="0.2">
      <c r="A38" s="30"/>
      <c r="B38" s="6"/>
      <c r="C38" s="17"/>
      <c r="D38" s="28"/>
      <c r="E38" s="28"/>
      <c r="F38" s="27"/>
      <c r="G38" s="6"/>
      <c r="H38" s="18"/>
      <c r="I38" s="18"/>
      <c r="J38" s="18"/>
      <c r="K38" s="49"/>
      <c r="L38" s="17"/>
      <c r="M38" s="19"/>
      <c r="N38" s="19"/>
    </row>
    <row r="39" spans="1:14" x14ac:dyDescent="0.2">
      <c r="A39" s="30"/>
      <c r="B39" s="6"/>
      <c r="C39" s="17"/>
      <c r="D39" s="28"/>
      <c r="E39" s="28"/>
      <c r="F39" s="27"/>
      <c r="G39" s="6"/>
      <c r="H39" s="18"/>
      <c r="I39" s="18"/>
      <c r="J39" s="18"/>
      <c r="K39" s="49"/>
      <c r="L39" s="17"/>
      <c r="M39" s="19"/>
      <c r="N39" s="19"/>
    </row>
    <row r="40" spans="1:14" x14ac:dyDescent="0.2">
      <c r="A40" s="30"/>
      <c r="B40" s="6"/>
      <c r="C40" s="17"/>
      <c r="D40" s="28"/>
      <c r="E40" s="28"/>
      <c r="F40" s="27"/>
      <c r="G40" s="6"/>
      <c r="H40" s="18"/>
      <c r="I40" s="18"/>
      <c r="J40" s="18"/>
      <c r="K40" s="49"/>
      <c r="L40" s="17"/>
      <c r="M40" s="19"/>
      <c r="N40" s="19"/>
    </row>
    <row r="41" spans="1:14" x14ac:dyDescent="0.2">
      <c r="A41" s="30"/>
      <c r="B41" s="6"/>
      <c r="C41" s="17"/>
      <c r="D41" s="28"/>
      <c r="E41" s="28"/>
      <c r="F41" s="27"/>
      <c r="G41" s="6"/>
      <c r="H41" s="18"/>
      <c r="I41" s="18"/>
      <c r="J41" s="18"/>
      <c r="K41" s="49"/>
      <c r="L41" s="17"/>
      <c r="M41" s="19"/>
      <c r="N41" s="19"/>
    </row>
    <row r="42" spans="1:14" x14ac:dyDescent="0.2">
      <c r="A42" s="30"/>
      <c r="B42" s="6"/>
      <c r="C42" s="17"/>
      <c r="D42" s="28"/>
      <c r="E42" s="28"/>
      <c r="F42" s="27"/>
      <c r="G42" s="6"/>
      <c r="H42" s="18"/>
      <c r="I42" s="18"/>
      <c r="J42" s="18"/>
      <c r="K42" s="49"/>
      <c r="L42" s="17"/>
      <c r="M42" s="19"/>
      <c r="N42" s="19"/>
    </row>
    <row r="43" spans="1:14" x14ac:dyDescent="0.2">
      <c r="A43" s="30"/>
      <c r="B43" s="6"/>
      <c r="C43" s="17"/>
      <c r="D43" s="28"/>
      <c r="E43" s="28"/>
      <c r="F43" s="27"/>
      <c r="G43" s="6"/>
      <c r="H43" s="18"/>
      <c r="I43" s="18"/>
      <c r="J43" s="18"/>
      <c r="K43" s="49"/>
      <c r="L43" s="17"/>
      <c r="M43" s="19"/>
      <c r="N43" s="19"/>
    </row>
    <row r="44" spans="1:14" x14ac:dyDescent="0.2">
      <c r="A44" s="30"/>
      <c r="B44" s="6"/>
      <c r="C44" s="17"/>
      <c r="D44" s="28"/>
      <c r="E44" s="28"/>
      <c r="F44" s="27"/>
      <c r="G44" s="6"/>
      <c r="H44" s="18"/>
      <c r="I44" s="18"/>
      <c r="J44" s="18"/>
      <c r="K44" s="49"/>
      <c r="L44" s="17"/>
      <c r="M44" s="19"/>
      <c r="N44" s="19"/>
    </row>
    <row r="45" spans="1:14" x14ac:dyDescent="0.2">
      <c r="A45" s="30"/>
      <c r="B45" s="6"/>
      <c r="C45" s="17"/>
      <c r="D45" s="28"/>
      <c r="E45" s="28"/>
      <c r="F45" s="27"/>
      <c r="G45" s="6"/>
      <c r="H45" s="18"/>
      <c r="I45" s="18"/>
      <c r="J45" s="18"/>
      <c r="K45" s="49"/>
      <c r="L45" s="17"/>
      <c r="M45" s="19"/>
      <c r="N45" s="19"/>
    </row>
    <row r="46" spans="1:14" x14ac:dyDescent="0.2">
      <c r="A46" s="30"/>
      <c r="B46" s="6"/>
      <c r="C46" s="17"/>
      <c r="D46" s="28"/>
      <c r="E46" s="28"/>
      <c r="F46" s="27"/>
      <c r="G46" s="6"/>
      <c r="H46" s="18"/>
      <c r="I46" s="18"/>
      <c r="J46" s="18"/>
      <c r="K46" s="49"/>
      <c r="L46" s="17"/>
      <c r="M46" s="19"/>
      <c r="N46" s="19"/>
    </row>
    <row r="47" spans="1:14" x14ac:dyDescent="0.2">
      <c r="A47" s="30"/>
      <c r="B47" s="6"/>
      <c r="C47" s="17"/>
      <c r="D47" s="28"/>
      <c r="E47" s="28"/>
      <c r="F47" s="27"/>
      <c r="G47" s="6"/>
      <c r="H47" s="18"/>
      <c r="I47" s="18"/>
      <c r="J47" s="18"/>
      <c r="K47" s="49"/>
      <c r="L47" s="17"/>
      <c r="M47" s="19"/>
      <c r="N47" s="19"/>
    </row>
    <row r="48" spans="1:14" x14ac:dyDescent="0.2">
      <c r="A48" s="30"/>
      <c r="B48" s="6"/>
      <c r="C48" s="17"/>
      <c r="D48" s="28"/>
      <c r="E48" s="28"/>
      <c r="F48" s="27"/>
      <c r="G48" s="6"/>
      <c r="H48" s="18"/>
      <c r="I48" s="18"/>
      <c r="J48" s="18"/>
      <c r="K48" s="49"/>
      <c r="L48" s="17"/>
      <c r="M48" s="19"/>
      <c r="N48" s="19"/>
    </row>
    <row r="49" spans="1:14" x14ac:dyDescent="0.2">
      <c r="A49" s="30"/>
      <c r="B49" s="6"/>
      <c r="C49" s="17"/>
      <c r="D49" s="28"/>
      <c r="E49" s="28"/>
      <c r="F49" s="27"/>
      <c r="G49" s="6"/>
      <c r="H49" s="18"/>
      <c r="I49" s="18"/>
      <c r="J49" s="18"/>
      <c r="K49" s="49"/>
      <c r="L49" s="17"/>
      <c r="M49" s="19"/>
      <c r="N49" s="19"/>
    </row>
    <row r="50" spans="1:14" x14ac:dyDescent="0.2">
      <c r="A50" s="30"/>
      <c r="B50" s="6"/>
      <c r="C50" s="17"/>
      <c r="D50" s="28"/>
      <c r="E50" s="28"/>
      <c r="F50" s="27"/>
      <c r="G50" s="6"/>
      <c r="H50" s="18"/>
      <c r="I50" s="18"/>
      <c r="J50" s="18"/>
      <c r="K50" s="49"/>
      <c r="L50" s="17"/>
      <c r="M50" s="19"/>
      <c r="N50" s="19"/>
    </row>
    <row r="51" spans="1:14" x14ac:dyDescent="0.2">
      <c r="A51" s="30"/>
      <c r="B51" s="6"/>
      <c r="C51" s="17"/>
      <c r="D51" s="28"/>
      <c r="E51" s="28"/>
      <c r="F51" s="27"/>
      <c r="G51" s="6"/>
      <c r="H51" s="18"/>
      <c r="I51" s="18"/>
      <c r="J51" s="18"/>
      <c r="K51" s="49"/>
      <c r="L51" s="17"/>
      <c r="M51" s="19"/>
      <c r="N51" s="19"/>
    </row>
    <row r="52" spans="1:14" x14ac:dyDescent="0.2">
      <c r="A52" s="30"/>
      <c r="B52" s="6"/>
      <c r="C52" s="17"/>
      <c r="D52" s="28"/>
      <c r="E52" s="28"/>
      <c r="F52" s="27"/>
      <c r="G52" s="6"/>
      <c r="H52" s="18"/>
      <c r="I52" s="18"/>
      <c r="J52" s="18"/>
      <c r="K52" s="49"/>
      <c r="L52" s="17"/>
      <c r="M52" s="19"/>
      <c r="N52" s="19"/>
    </row>
    <row r="53" spans="1:14" x14ac:dyDescent="0.2">
      <c r="A53" s="30"/>
      <c r="B53" s="6"/>
      <c r="C53" s="17"/>
      <c r="D53" s="28"/>
      <c r="E53" s="28"/>
      <c r="F53" s="27"/>
      <c r="G53" s="6"/>
      <c r="H53" s="18"/>
      <c r="I53" s="18"/>
      <c r="J53" s="18"/>
      <c r="K53" s="49"/>
      <c r="L53" s="17"/>
      <c r="M53" s="19"/>
      <c r="N53" s="19"/>
    </row>
    <row r="54" spans="1:14" x14ac:dyDescent="0.2">
      <c r="A54" s="30"/>
      <c r="B54" s="6"/>
      <c r="C54" s="17"/>
      <c r="D54" s="28"/>
      <c r="E54" s="28"/>
      <c r="F54" s="27"/>
      <c r="G54" s="6"/>
      <c r="H54" s="18"/>
      <c r="I54" s="18"/>
      <c r="J54" s="18"/>
      <c r="K54" s="49"/>
      <c r="L54" s="17"/>
      <c r="M54" s="19"/>
      <c r="N54" s="19"/>
    </row>
    <row r="55" spans="1:14" x14ac:dyDescent="0.2">
      <c r="A55" s="30"/>
      <c r="B55" s="6"/>
      <c r="C55" s="17"/>
      <c r="D55" s="28"/>
      <c r="E55" s="28"/>
      <c r="F55" s="27"/>
      <c r="G55" s="6"/>
      <c r="H55" s="18"/>
      <c r="I55" s="18"/>
      <c r="J55" s="18"/>
      <c r="K55" s="49"/>
      <c r="L55" s="17"/>
      <c r="M55" s="19"/>
      <c r="N55" s="19"/>
    </row>
    <row r="56" spans="1:14" x14ac:dyDescent="0.2">
      <c r="A56" s="30"/>
      <c r="B56" s="6"/>
      <c r="C56" s="17"/>
      <c r="D56" s="28"/>
      <c r="E56" s="28"/>
      <c r="F56" s="27"/>
      <c r="G56" s="6"/>
      <c r="H56" s="18"/>
      <c r="I56" s="18"/>
      <c r="J56" s="18"/>
      <c r="K56" s="49"/>
      <c r="L56" s="17"/>
      <c r="M56" s="19"/>
      <c r="N56" s="19"/>
    </row>
    <row r="57" spans="1:14" x14ac:dyDescent="0.2">
      <c r="A57" s="30"/>
      <c r="B57" s="6"/>
      <c r="C57" s="17"/>
      <c r="D57" s="28"/>
      <c r="E57" s="28"/>
      <c r="F57" s="27"/>
      <c r="G57" s="6"/>
      <c r="H57" s="18"/>
      <c r="I57" s="18"/>
      <c r="J57" s="18"/>
      <c r="K57" s="49"/>
      <c r="L57" s="17"/>
      <c r="M57" s="19"/>
      <c r="N57" s="19"/>
    </row>
    <row r="58" spans="1:14" x14ac:dyDescent="0.2">
      <c r="A58" s="30"/>
      <c r="B58" s="6"/>
      <c r="C58" s="17"/>
      <c r="D58" s="28"/>
      <c r="E58" s="28"/>
      <c r="F58" s="27"/>
      <c r="G58" s="6"/>
      <c r="H58" s="18"/>
      <c r="I58" s="18"/>
      <c r="J58" s="18"/>
      <c r="K58" s="49"/>
      <c r="L58" s="17"/>
      <c r="M58" s="19"/>
      <c r="N58" s="19"/>
    </row>
    <row r="59" spans="1:14" x14ac:dyDescent="0.2">
      <c r="A59" s="30"/>
      <c r="B59" s="6"/>
      <c r="C59" s="17"/>
      <c r="D59" s="28"/>
      <c r="E59" s="28"/>
      <c r="F59" s="27"/>
      <c r="G59" s="6"/>
      <c r="H59" s="18"/>
      <c r="I59" s="18"/>
      <c r="J59" s="18"/>
      <c r="K59" s="49"/>
      <c r="L59" s="17"/>
      <c r="M59" s="19"/>
      <c r="N59" s="19"/>
    </row>
    <row r="60" spans="1:14" x14ac:dyDescent="0.2">
      <c r="A60" s="30"/>
      <c r="B60" s="6"/>
      <c r="C60" s="17"/>
      <c r="D60" s="28"/>
      <c r="E60" s="28"/>
      <c r="F60" s="27"/>
      <c r="G60" s="6"/>
      <c r="H60" s="18"/>
      <c r="I60" s="18"/>
      <c r="J60" s="18"/>
      <c r="K60" s="49"/>
      <c r="L60" s="17"/>
      <c r="M60" s="19"/>
      <c r="N60" s="19"/>
    </row>
    <row r="61" spans="1:14" x14ac:dyDescent="0.2">
      <c r="A61" s="30"/>
      <c r="B61" s="6"/>
      <c r="C61" s="17"/>
      <c r="D61" s="28"/>
      <c r="E61" s="28"/>
      <c r="F61" s="27"/>
      <c r="G61" s="6"/>
      <c r="H61" s="18"/>
      <c r="I61" s="18"/>
      <c r="J61" s="18"/>
      <c r="K61" s="49"/>
      <c r="L61" s="17"/>
      <c r="M61" s="19"/>
      <c r="N61" s="19"/>
    </row>
    <row r="62" spans="1:14" x14ac:dyDescent="0.2">
      <c r="A62" s="30"/>
      <c r="B62" s="6"/>
      <c r="C62" s="17"/>
      <c r="D62" s="28"/>
      <c r="E62" s="28"/>
      <c r="F62" s="27"/>
      <c r="G62" s="6"/>
      <c r="H62" s="18"/>
      <c r="I62" s="18"/>
      <c r="J62" s="18"/>
      <c r="K62" s="49"/>
      <c r="L62" s="17"/>
      <c r="M62" s="19"/>
      <c r="N62" s="19"/>
    </row>
    <row r="63" spans="1:14" x14ac:dyDescent="0.2">
      <c r="A63" s="30"/>
      <c r="B63" s="6"/>
      <c r="C63" s="17"/>
      <c r="D63" s="28"/>
      <c r="E63" s="28"/>
      <c r="F63" s="27"/>
      <c r="G63" s="6"/>
      <c r="H63" s="18"/>
      <c r="I63" s="18"/>
      <c r="J63" s="18"/>
      <c r="K63" s="49"/>
      <c r="L63" s="17"/>
      <c r="M63" s="19"/>
      <c r="N63" s="19"/>
    </row>
    <row r="64" spans="1:14"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row r="137" spans="1:14" x14ac:dyDescent="0.2">
      <c r="A137" s="30"/>
      <c r="B137" s="6"/>
      <c r="C137" s="17"/>
      <c r="D137" s="28"/>
      <c r="E137" s="28"/>
      <c r="F137" s="27"/>
      <c r="G137" s="6"/>
      <c r="H137" s="18"/>
      <c r="I137" s="18"/>
      <c r="J137" s="18"/>
      <c r="K137" s="49"/>
      <c r="L137" s="17"/>
      <c r="M137" s="19"/>
      <c r="N137" s="19"/>
    </row>
    <row r="138" spans="1:14" x14ac:dyDescent="0.2">
      <c r="A138" s="30"/>
      <c r="B138" s="6"/>
      <c r="C138" s="17"/>
      <c r="D138" s="28"/>
      <c r="E138" s="28"/>
      <c r="F138" s="27"/>
      <c r="G138" s="6"/>
      <c r="H138" s="18"/>
      <c r="I138" s="18"/>
      <c r="J138" s="18"/>
      <c r="K138" s="49"/>
      <c r="L138" s="17"/>
      <c r="M138" s="19"/>
      <c r="N138" s="19"/>
    </row>
  </sheetData>
  <mergeCells count="3">
    <mergeCell ref="F1:F2"/>
    <mergeCell ref="A12:L12"/>
    <mergeCell ref="A10:O10"/>
  </mergeCells>
  <phoneticPr fontId="1" type="noConversion"/>
  <conditionalFormatting sqref="L11:L12">
    <cfRule type="dataBar" priority="1">
      <dataBar>
        <cfvo type="num" val="0"/>
        <cfvo type="num" val="1"/>
        <color theme="5"/>
      </dataBar>
      <extLst>
        <ext xmlns:x14="http://schemas.microsoft.com/office/spreadsheetml/2009/9/main" uri="{B025F937-C7B1-47D3-B67F-A62EFF666E3E}">
          <x14:id>{356488D5-3F44-7040-8E89-FCC96A8C1BB6}</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356488D5-3F44-7040-8E89-FCC96A8C1BB6}">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L11:L12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94E3A978-CD29-724F-AE3A-B3ECC10C3099}">
          <x14:formula1>
            <xm:f>Dropdowns!$I$2:$I$15</xm:f>
          </x14:formula1>
          <xm:sqref>G4:G7 G9 G13:G138</xm:sqref>
        </x14:dataValidation>
        <x14:dataValidation type="list" allowBlank="1" showInputMessage="1" showErrorMessage="1" xr:uid="{F3CC449A-6C7A-D543-9ED6-D432A7A3D523}">
          <x14:formula1>
            <xm:f>Dropdowns!$C$2:$C$7</xm:f>
          </x14:formula1>
          <xm:sqref>B4:B7 B13:B138 B9</xm:sqref>
        </x14:dataValidation>
        <x14:dataValidation type="list" allowBlank="1" showInputMessage="1" showErrorMessage="1" xr:uid="{52B07730-1747-B34D-B603-07EF5292C4F8}">
          <x14:formula1>
            <xm:f>Dropdowns!$K$2:$K$4</xm:f>
          </x14:formula1>
          <xm:sqref>K35:K138 K13:K33 K9</xm:sqref>
        </x14:dataValidation>
        <x14:dataValidation type="list" allowBlank="1" showInputMessage="1" showErrorMessage="1" xr:uid="{D218B66B-0E35-2B44-819E-84F791B917E1}">
          <x14:formula1>
            <xm:f>Dropdowns!$K$2:$K$5</xm:f>
          </x14:formula1>
          <xm:sqref>K4:K7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518B-6583-5D44-A5C2-2BF6EEB34D3A}">
  <dimension ref="A1:O22"/>
  <sheetViews>
    <sheetView showGridLines="0" topLeftCell="E1" zoomScale="120" zoomScaleNormal="120" workbookViewId="0">
      <selection activeCell="C12" sqref="C12"/>
    </sheetView>
  </sheetViews>
  <sheetFormatPr baseColWidth="10" defaultRowHeight="15" x14ac:dyDescent="0.2"/>
  <cols>
    <col min="1" max="1" width="11.1640625" customWidth="1"/>
    <col min="2" max="2" width="20.1640625" bestFit="1" customWidth="1"/>
    <col min="3" max="3" width="24.33203125" customWidth="1"/>
    <col min="4" max="4" width="14.33203125" bestFit="1" customWidth="1"/>
    <col min="5" max="5" width="14.1640625" bestFit="1" customWidth="1"/>
    <col min="6" max="6" width="15.33203125" bestFit="1" customWidth="1"/>
    <col min="8" max="10" width="30.6640625" customWidth="1"/>
    <col min="11" max="11" width="16" customWidth="1"/>
    <col min="12" max="12" width="51.83203125" customWidth="1"/>
    <col min="13" max="13" width="32.83203125" bestFit="1" customWidth="1"/>
    <col min="14" max="14" width="25.33203125" bestFit="1" customWidth="1"/>
  </cols>
  <sheetData>
    <row r="1" spans="1:14" x14ac:dyDescent="0.2">
      <c r="D1" s="53" t="s">
        <v>175</v>
      </c>
      <c r="F1" s="232">
        <v>17.61</v>
      </c>
    </row>
    <row r="2" spans="1:14" ht="16" thickBot="1" x14ac:dyDescent="0.25">
      <c r="D2" s="52">
        <v>1.1100000000000001</v>
      </c>
      <c r="F2" s="233"/>
    </row>
    <row r="3" spans="1:14" ht="16" x14ac:dyDescent="0.2">
      <c r="A3" t="s">
        <v>104</v>
      </c>
      <c r="B3" s="105" t="s">
        <v>467</v>
      </c>
      <c r="C3" s="106" t="s">
        <v>469</v>
      </c>
      <c r="D3" s="44" t="s">
        <v>176</v>
      </c>
      <c r="E3" s="50" t="s">
        <v>245</v>
      </c>
      <c r="F3" s="50" t="s">
        <v>38</v>
      </c>
      <c r="G3" s="44" t="s">
        <v>95</v>
      </c>
      <c r="H3" s="107" t="s">
        <v>350</v>
      </c>
      <c r="I3" s="107" t="s">
        <v>565</v>
      </c>
      <c r="J3" s="107" t="s">
        <v>566</v>
      </c>
      <c r="K3" s="108" t="s">
        <v>470</v>
      </c>
      <c r="L3" s="109" t="s">
        <v>472</v>
      </c>
      <c r="M3" s="45" t="s">
        <v>496</v>
      </c>
      <c r="N3" s="45" t="s">
        <v>497</v>
      </c>
    </row>
    <row r="4" spans="1:14" s="30" customFormat="1" ht="64" x14ac:dyDescent="0.2">
      <c r="A4" s="65" t="s">
        <v>113</v>
      </c>
      <c r="B4" s="65" t="s">
        <v>56</v>
      </c>
      <c r="C4" s="63" t="s">
        <v>25</v>
      </c>
      <c r="D4" s="68">
        <f>Table10[[#This Row],[CHF: Amount]]*$D$2</f>
        <v>1110000</v>
      </c>
      <c r="E4" s="81">
        <v>1000000</v>
      </c>
      <c r="F4" s="79">
        <f>Table10[[#This Row],[Total US$ ]]*$F$1</f>
        <v>19547100</v>
      </c>
      <c r="G4" s="65" t="s">
        <v>111</v>
      </c>
      <c r="H4" s="76" t="s">
        <v>507</v>
      </c>
      <c r="I4" s="76" t="s">
        <v>659</v>
      </c>
      <c r="J4" s="76" t="s">
        <v>56</v>
      </c>
      <c r="K4" s="84" t="s">
        <v>494</v>
      </c>
      <c r="L4" s="63" t="s">
        <v>753</v>
      </c>
      <c r="M4" s="86">
        <v>44501</v>
      </c>
      <c r="N4" s="86">
        <v>45657</v>
      </c>
    </row>
    <row r="5" spans="1:14" s="30" customFormat="1" ht="64" x14ac:dyDescent="0.2">
      <c r="A5" s="65" t="s">
        <v>114</v>
      </c>
      <c r="B5" s="65" t="s">
        <v>56</v>
      </c>
      <c r="C5" s="63" t="s">
        <v>246</v>
      </c>
      <c r="D5" s="68">
        <f>Table10[[#This Row],[CHF: Amount]]*$D$2</f>
        <v>2480528.4108000002</v>
      </c>
      <c r="E5" s="81">
        <v>2234710.2799999998</v>
      </c>
      <c r="F5" s="79">
        <f>Table10[[#This Row],[Total US$ ]]*$F$1</f>
        <v>43682105.314188004</v>
      </c>
      <c r="G5" s="65" t="s">
        <v>111</v>
      </c>
      <c r="H5" s="76" t="s">
        <v>376</v>
      </c>
      <c r="I5" s="76" t="s">
        <v>660</v>
      </c>
      <c r="J5" s="76" t="s">
        <v>661</v>
      </c>
      <c r="K5" s="84" t="s">
        <v>494</v>
      </c>
      <c r="L5" s="63" t="s">
        <v>346</v>
      </c>
      <c r="M5" s="86">
        <v>44501</v>
      </c>
      <c r="N5" s="86">
        <v>45657</v>
      </c>
    </row>
    <row r="6" spans="1:14" s="30" customFormat="1" ht="96" x14ac:dyDescent="0.2">
      <c r="A6" s="65" t="s">
        <v>115</v>
      </c>
      <c r="B6" s="65" t="s">
        <v>56</v>
      </c>
      <c r="C6" s="63" t="s">
        <v>651</v>
      </c>
      <c r="D6" s="68">
        <f>Table10[[#This Row],[CHF: Amount]]*$D$2</f>
        <v>7781100.0000000009</v>
      </c>
      <c r="E6" s="81">
        <v>7010000</v>
      </c>
      <c r="F6" s="79">
        <f>Table10[[#This Row],[Total US$ ]]*$F$1</f>
        <v>137025171</v>
      </c>
      <c r="G6" s="65" t="s">
        <v>111</v>
      </c>
      <c r="H6" s="76" t="s">
        <v>377</v>
      </c>
      <c r="I6" s="76" t="s">
        <v>662</v>
      </c>
      <c r="J6" s="76" t="s">
        <v>663</v>
      </c>
      <c r="K6" s="84" t="s">
        <v>494</v>
      </c>
      <c r="L6" s="63" t="s">
        <v>347</v>
      </c>
      <c r="M6" s="86">
        <v>44501</v>
      </c>
      <c r="N6" s="86">
        <v>45657</v>
      </c>
    </row>
    <row r="7" spans="1:14" s="30" customFormat="1" ht="64" x14ac:dyDescent="0.2">
      <c r="A7" s="65" t="s">
        <v>116</v>
      </c>
      <c r="B7" s="65" t="s">
        <v>72</v>
      </c>
      <c r="C7" s="63" t="s">
        <v>247</v>
      </c>
      <c r="D7" s="68">
        <f>Table10[[#This Row],[CHF: Amount]]*$D$2</f>
        <v>5494500.0000000009</v>
      </c>
      <c r="E7" s="81">
        <v>4950000</v>
      </c>
      <c r="F7" s="79">
        <f>Table10[[#This Row],[Total US$ ]]*$F$1</f>
        <v>96758145.000000015</v>
      </c>
      <c r="G7" s="65" t="s">
        <v>111</v>
      </c>
      <c r="H7" s="76" t="s">
        <v>508</v>
      </c>
      <c r="I7" s="76" t="s">
        <v>664</v>
      </c>
      <c r="J7" s="76" t="s">
        <v>665</v>
      </c>
      <c r="K7" s="84" t="s">
        <v>494</v>
      </c>
      <c r="L7" s="63" t="s">
        <v>348</v>
      </c>
      <c r="M7" s="86">
        <v>44713</v>
      </c>
      <c r="N7" s="86">
        <v>45808</v>
      </c>
    </row>
    <row r="8" spans="1:14" s="30" customFormat="1" ht="48" x14ac:dyDescent="0.2">
      <c r="A8" s="65" t="s">
        <v>117</v>
      </c>
      <c r="B8" s="65" t="s">
        <v>468</v>
      </c>
      <c r="C8" s="63" t="s">
        <v>248</v>
      </c>
      <c r="D8" s="68">
        <f>Table10[[#This Row],[CHF: Amount]]*$D$2</f>
        <v>1110000</v>
      </c>
      <c r="E8" s="81">
        <v>1000000</v>
      </c>
      <c r="F8" s="79">
        <f>Table10[[#This Row],[Total US$ ]]*$F$1</f>
        <v>19547100</v>
      </c>
      <c r="G8" s="65" t="s">
        <v>111</v>
      </c>
      <c r="H8" s="76" t="s">
        <v>509</v>
      </c>
      <c r="I8" s="76" t="s">
        <v>666</v>
      </c>
      <c r="J8" s="76" t="s">
        <v>667</v>
      </c>
      <c r="K8" s="84" t="s">
        <v>494</v>
      </c>
      <c r="L8" s="89" t="s">
        <v>754</v>
      </c>
      <c r="M8" s="85">
        <v>44562</v>
      </c>
      <c r="N8" s="85">
        <v>45930</v>
      </c>
    </row>
    <row r="9" spans="1:14" s="30" customFormat="1" ht="80" x14ac:dyDescent="0.2">
      <c r="A9" s="65" t="s">
        <v>164</v>
      </c>
      <c r="B9" s="63" t="s">
        <v>56</v>
      </c>
      <c r="C9" s="63" t="s">
        <v>47</v>
      </c>
      <c r="D9" s="68">
        <f>Table10[[#This Row],[CHF: Amount]]*$D$2</f>
        <v>8996550</v>
      </c>
      <c r="E9" s="81">
        <v>8105000</v>
      </c>
      <c r="F9" s="79">
        <f>Table10[[#This Row],[Total US$ ]]*$F$1</f>
        <v>158429245.5</v>
      </c>
      <c r="G9" s="65" t="s">
        <v>111</v>
      </c>
      <c r="H9" s="76" t="s">
        <v>378</v>
      </c>
      <c r="I9" s="76" t="s">
        <v>662</v>
      </c>
      <c r="J9" s="76" t="s">
        <v>668</v>
      </c>
      <c r="K9" s="84" t="s">
        <v>494</v>
      </c>
      <c r="L9" s="63" t="s">
        <v>398</v>
      </c>
      <c r="M9" s="86">
        <v>44501</v>
      </c>
      <c r="N9" s="86">
        <v>45930</v>
      </c>
    </row>
    <row r="10" spans="1:14" ht="64" x14ac:dyDescent="0.2">
      <c r="A10" s="65" t="s">
        <v>165</v>
      </c>
      <c r="B10" s="65" t="s">
        <v>468</v>
      </c>
      <c r="C10" s="63" t="s">
        <v>48</v>
      </c>
      <c r="D10" s="68">
        <f>Table10[[#This Row],[CHF: Amount]]*$D$2</f>
        <v>1110000</v>
      </c>
      <c r="E10" s="81">
        <v>1000000</v>
      </c>
      <c r="F10" s="79">
        <f>Table10[[#This Row],[Total US$ ]]*$F$1</f>
        <v>19547100</v>
      </c>
      <c r="G10" s="65" t="s">
        <v>111</v>
      </c>
      <c r="H10" s="76" t="s">
        <v>379</v>
      </c>
      <c r="I10" s="76" t="s">
        <v>669</v>
      </c>
      <c r="J10" s="76" t="s">
        <v>670</v>
      </c>
      <c r="K10" s="84" t="s">
        <v>494</v>
      </c>
      <c r="L10" s="63" t="s">
        <v>755</v>
      </c>
      <c r="M10" s="86">
        <v>44501</v>
      </c>
      <c r="N10" s="85">
        <v>47117</v>
      </c>
    </row>
    <row r="11" spans="1:14" s="30" customFormat="1" ht="112" x14ac:dyDescent="0.2">
      <c r="A11" s="65" t="s">
        <v>166</v>
      </c>
      <c r="B11" s="65" t="s">
        <v>468</v>
      </c>
      <c r="C11" s="63" t="s">
        <v>49</v>
      </c>
      <c r="D11" s="68">
        <f>Table10[[#This Row],[CHF: Amount]]*$D$2</f>
        <v>3663000.0000000005</v>
      </c>
      <c r="E11" s="81">
        <v>3300000</v>
      </c>
      <c r="F11" s="79">
        <f>Table10[[#This Row],[Total US$ ]]*$F$1</f>
        <v>64505430.000000007</v>
      </c>
      <c r="G11" s="65" t="s">
        <v>111</v>
      </c>
      <c r="H11" s="76" t="s">
        <v>380</v>
      </c>
      <c r="I11" s="76" t="s">
        <v>669</v>
      </c>
      <c r="J11" s="76" t="s">
        <v>671</v>
      </c>
      <c r="K11" s="84" t="s">
        <v>494</v>
      </c>
      <c r="L11" s="63" t="s">
        <v>349</v>
      </c>
      <c r="M11" s="86">
        <v>44501</v>
      </c>
      <c r="N11" s="85">
        <v>46386</v>
      </c>
    </row>
    <row r="12" spans="1:14" ht="64" x14ac:dyDescent="0.2">
      <c r="A12" s="65" t="s">
        <v>244</v>
      </c>
      <c r="B12" s="65" t="s">
        <v>56</v>
      </c>
      <c r="C12" s="63" t="s">
        <v>249</v>
      </c>
      <c r="D12" s="68">
        <f>Table10[[#This Row],[CHF: Amount]]*$D$2</f>
        <v>7215000</v>
      </c>
      <c r="E12" s="81">
        <v>6499999.9999999991</v>
      </c>
      <c r="F12" s="79">
        <f>Table10[[#This Row],[Total US$ ]]*$F$1</f>
        <v>127056150</v>
      </c>
      <c r="G12" s="65" t="s">
        <v>111</v>
      </c>
      <c r="H12" s="76" t="s">
        <v>381</v>
      </c>
      <c r="I12" s="76" t="s">
        <v>659</v>
      </c>
      <c r="J12" s="76" t="s">
        <v>56</v>
      </c>
      <c r="K12" s="84" t="s">
        <v>494</v>
      </c>
      <c r="L12" s="63" t="s">
        <v>399</v>
      </c>
      <c r="M12" s="86">
        <v>44501</v>
      </c>
      <c r="N12" s="85">
        <v>46387</v>
      </c>
    </row>
    <row r="13" spans="1:14" s="34" customFormat="1" ht="98" x14ac:dyDescent="0.2">
      <c r="A13" s="65" t="s">
        <v>652</v>
      </c>
      <c r="B13" s="65" t="s">
        <v>56</v>
      </c>
      <c r="C13" s="144" t="s">
        <v>651</v>
      </c>
      <c r="D13" s="68">
        <f>Table10[[#This Row],[CHF: Amount]]*$D$2</f>
        <v>7781100.0000000009</v>
      </c>
      <c r="E13" s="81">
        <v>7010000</v>
      </c>
      <c r="F13" s="79">
        <f>Table10[[#This Row],[Total US$ ]]*$F$1</f>
        <v>137025171</v>
      </c>
      <c r="G13" s="65" t="s">
        <v>111</v>
      </c>
      <c r="H13" s="76" t="s">
        <v>377</v>
      </c>
      <c r="I13" s="76" t="s">
        <v>672</v>
      </c>
      <c r="J13" s="76" t="s">
        <v>663</v>
      </c>
      <c r="K13" s="84" t="s">
        <v>251</v>
      </c>
      <c r="L13" s="144" t="s">
        <v>756</v>
      </c>
      <c r="M13" s="145">
        <v>45747</v>
      </c>
      <c r="N13" s="145">
        <v>47118</v>
      </c>
    </row>
    <row r="14" spans="1:14" s="34" customFormat="1" ht="49" x14ac:dyDescent="0.2">
      <c r="A14" s="65" t="s">
        <v>653</v>
      </c>
      <c r="B14" s="65" t="s">
        <v>56</v>
      </c>
      <c r="C14" s="146" t="s">
        <v>674</v>
      </c>
      <c r="D14" s="68">
        <f>Table10[[#This Row],[CHF: Amount]]*$D$2</f>
        <v>3885000.0000000005</v>
      </c>
      <c r="E14" s="81">
        <v>3500000</v>
      </c>
      <c r="F14" s="79">
        <f>Table10[[#This Row],[Total US$ ]]*$F$1</f>
        <v>68414850</v>
      </c>
      <c r="G14" s="65" t="s">
        <v>111</v>
      </c>
      <c r="H14" s="76" t="s">
        <v>675</v>
      </c>
      <c r="I14" s="76" t="s">
        <v>673</v>
      </c>
      <c r="J14" s="76" t="s">
        <v>667</v>
      </c>
      <c r="K14" s="84" t="s">
        <v>494</v>
      </c>
      <c r="L14" s="146" t="s">
        <v>757</v>
      </c>
      <c r="M14" s="145">
        <v>45574</v>
      </c>
      <c r="N14" s="145">
        <v>46752</v>
      </c>
    </row>
    <row r="15" spans="1:14" x14ac:dyDescent="0.2">
      <c r="B15" s="1"/>
      <c r="C15" s="1"/>
      <c r="D15" s="82">
        <f>SUBTOTAL(109,Table10[Total US$ ])</f>
        <v>50626778.410800003</v>
      </c>
      <c r="E15" s="83">
        <f>SUBTOTAL(109,Table10[CHF: Amount])</f>
        <v>45609710.280000001</v>
      </c>
      <c r="F15" s="60">
        <f>SUBTOTAL(109,Table10[Total ZAR])</f>
        <v>891537567.814188</v>
      </c>
      <c r="G15" s="1"/>
      <c r="H15" s="1"/>
      <c r="I15" s="1"/>
      <c r="J15" s="1"/>
      <c r="K15" s="1"/>
      <c r="L15" s="4"/>
      <c r="M15" s="1"/>
      <c r="N15" s="1"/>
    </row>
    <row r="17" spans="1:15" ht="30" customHeight="1" x14ac:dyDescent="0.2">
      <c r="A17" s="230" t="s">
        <v>676</v>
      </c>
      <c r="B17" s="230"/>
      <c r="C17" s="230"/>
      <c r="D17" s="230"/>
      <c r="E17" s="230"/>
      <c r="F17" s="230"/>
      <c r="G17" s="230"/>
      <c r="H17" s="230"/>
      <c r="I17" s="230"/>
      <c r="J17" s="230"/>
      <c r="K17" s="230"/>
      <c r="L17" s="230"/>
      <c r="M17" s="230"/>
      <c r="N17" s="230"/>
      <c r="O17" s="230"/>
    </row>
    <row r="18" spans="1:15" x14ac:dyDescent="0.2">
      <c r="B18" s="1"/>
      <c r="F18" s="1"/>
      <c r="G18" s="1"/>
      <c r="H18" s="8"/>
      <c r="I18" s="8"/>
      <c r="J18" s="8"/>
      <c r="K18" s="3"/>
      <c r="L18" s="17"/>
      <c r="M18" s="19"/>
      <c r="N18" s="19"/>
      <c r="O18" s="19"/>
    </row>
    <row r="19" spans="1:15" ht="15" customHeight="1" x14ac:dyDescent="0.2">
      <c r="A19" s="230" t="s">
        <v>561</v>
      </c>
      <c r="B19" s="230"/>
      <c r="C19" s="230"/>
      <c r="D19" s="230"/>
      <c r="E19" s="230"/>
      <c r="F19" s="230"/>
      <c r="G19" s="230"/>
      <c r="H19" s="230"/>
      <c r="I19" s="230"/>
      <c r="J19" s="230"/>
      <c r="K19" s="230"/>
      <c r="L19" s="17"/>
      <c r="M19" s="19"/>
      <c r="N19" s="19"/>
      <c r="O19" s="19"/>
    </row>
    <row r="20" spans="1:15" x14ac:dyDescent="0.2">
      <c r="A20" s="30"/>
      <c r="B20" s="22"/>
      <c r="C20" s="12"/>
      <c r="D20" s="12"/>
      <c r="E20" s="12"/>
      <c r="F20" s="25"/>
      <c r="G20" s="25"/>
      <c r="H20" s="27"/>
      <c r="I20" s="27"/>
      <c r="J20" s="27"/>
      <c r="K20" s="7"/>
      <c r="L20" s="12"/>
      <c r="M20" s="14"/>
      <c r="N20" s="14"/>
      <c r="O20" s="14"/>
    </row>
    <row r="21" spans="1:15" x14ac:dyDescent="0.2">
      <c r="A21" s="2" t="s">
        <v>502</v>
      </c>
      <c r="B21" s="22"/>
      <c r="C21" s="12"/>
      <c r="D21" s="12"/>
      <c r="E21" s="12"/>
      <c r="F21" s="25"/>
      <c r="G21" s="25"/>
      <c r="H21" s="27"/>
      <c r="I21" s="27"/>
      <c r="J21" s="27"/>
      <c r="K21" s="7"/>
      <c r="L21" s="12"/>
      <c r="M21" s="14"/>
      <c r="N21" s="14"/>
      <c r="O21" s="14"/>
    </row>
    <row r="22" spans="1:15" x14ac:dyDescent="0.2">
      <c r="F22" s="112"/>
    </row>
  </sheetData>
  <mergeCells count="3">
    <mergeCell ref="F1:F2"/>
    <mergeCell ref="A17:O17"/>
    <mergeCell ref="A19:K19"/>
  </mergeCells>
  <phoneticPr fontId="1" type="noConversion"/>
  <conditionalFormatting sqref="L18:L19">
    <cfRule type="dataBar" priority="1">
      <dataBar>
        <cfvo type="num" val="0"/>
        <cfvo type="num" val="1"/>
        <color theme="5"/>
      </dataBar>
      <extLst>
        <ext xmlns:x14="http://schemas.microsoft.com/office/spreadsheetml/2009/9/main" uri="{B025F937-C7B1-47D3-B67F-A62EFF666E3E}">
          <x14:id>{661AD4F0-3CF4-494B-AD3A-33DD929FFF9E}</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661AD4F0-3CF4-494B-AD3A-33DD929FFF9E}">
            <x14:dataBar minLength="0" maxLength="100" border="1" gradient="0" negativeBarBorderColorSameAsPositive="0">
              <x14:cfvo type="num">
                <xm:f>0</xm:f>
              </x14:cfvo>
              <x14:cfvo type="num">
                <xm:f>1</xm:f>
              </x14:cfvo>
              <x14:borderColor theme="5"/>
              <x14:negativeFillColor rgb="FFFF0000"/>
              <x14:negativeBorderColor rgb="FFFF0000"/>
              <x14:axisColor rgb="FF000000"/>
            </x14:dataBar>
          </x14:cfRule>
          <xm:sqref>L18:L19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3FDF0AF-6010-424B-A14C-75EC645F501E}">
          <x14:formula1>
            <xm:f>Dropdowns!$I$2:$I$15</xm:f>
          </x14:formula1>
          <xm:sqref>G4:G9 G11:G14</xm:sqref>
        </x14:dataValidation>
        <x14:dataValidation type="list" allowBlank="1" showInputMessage="1" showErrorMessage="1" xr:uid="{9FAD1D5C-B5E2-4946-BC13-57CA93A358B2}">
          <x14:formula1>
            <xm:f>Dropdowns!$C$2:$C$7</xm:f>
          </x14:formula1>
          <xm:sqref>B4:B14</xm:sqref>
        </x14:dataValidation>
        <x14:dataValidation type="list" allowBlank="1" showInputMessage="1" showErrorMessage="1" xr:uid="{B9A9136D-C8DB-C74C-A0F8-AAAF2FC56669}">
          <x14:formula1>
            <xm:f>Dropdowns!$K$2:$K$5</xm:f>
          </x14:formula1>
          <xm:sqref>K4:K14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CB1C7-D18B-9941-8536-4C67A637E8A8}">
  <dimension ref="A1:K15"/>
  <sheetViews>
    <sheetView topLeftCell="B1" workbookViewId="0">
      <selection activeCell="K5" sqref="K2:K5"/>
    </sheetView>
  </sheetViews>
  <sheetFormatPr baseColWidth="10" defaultRowHeight="15" x14ac:dyDescent="0.2"/>
  <cols>
    <col min="1" max="1" width="31.83203125" hidden="1" customWidth="1"/>
    <col min="3" max="3" width="19.83203125" bestFit="1" customWidth="1"/>
    <col min="5" max="5" width="32.33203125" bestFit="1" customWidth="1"/>
    <col min="7" max="7" width="13.33203125" bestFit="1" customWidth="1"/>
    <col min="9" max="9" width="13.33203125" bestFit="1" customWidth="1"/>
    <col min="11" max="11" width="29" bestFit="1" customWidth="1"/>
  </cols>
  <sheetData>
    <row r="1" spans="1:11" x14ac:dyDescent="0.2">
      <c r="A1" s="9" t="s">
        <v>63</v>
      </c>
      <c r="C1" t="s">
        <v>63</v>
      </c>
      <c r="E1" t="s">
        <v>93</v>
      </c>
      <c r="G1" t="s">
        <v>94</v>
      </c>
      <c r="I1" t="s">
        <v>95</v>
      </c>
      <c r="K1" t="s">
        <v>92</v>
      </c>
    </row>
    <row r="2" spans="1:11" x14ac:dyDescent="0.2">
      <c r="A2" s="10" t="s">
        <v>64</v>
      </c>
      <c r="C2" s="104" t="s">
        <v>468</v>
      </c>
      <c r="E2" s="10" t="s">
        <v>77</v>
      </c>
      <c r="G2" s="10" t="s">
        <v>294</v>
      </c>
      <c r="I2" s="10" t="s">
        <v>387</v>
      </c>
      <c r="K2" t="s">
        <v>250</v>
      </c>
    </row>
    <row r="3" spans="1:11" x14ac:dyDescent="0.2">
      <c r="A3" s="10" t="s">
        <v>65</v>
      </c>
      <c r="C3" s="10" t="s">
        <v>70</v>
      </c>
      <c r="E3" s="10" t="s">
        <v>76</v>
      </c>
      <c r="G3" s="10" t="s">
        <v>297</v>
      </c>
      <c r="I3" s="10" t="s">
        <v>388</v>
      </c>
      <c r="K3" s="30" t="s">
        <v>251</v>
      </c>
    </row>
    <row r="4" spans="1:11" ht="16" thickBot="1" x14ac:dyDescent="0.25">
      <c r="A4" s="10" t="s">
        <v>66</v>
      </c>
      <c r="C4" s="10" t="s">
        <v>56</v>
      </c>
      <c r="E4" s="10" t="s">
        <v>78</v>
      </c>
      <c r="G4" s="10" t="s">
        <v>82</v>
      </c>
      <c r="I4" s="10" t="s">
        <v>84</v>
      </c>
      <c r="K4" s="103" t="s">
        <v>494</v>
      </c>
    </row>
    <row r="5" spans="1:11" ht="16" thickBot="1" x14ac:dyDescent="0.25">
      <c r="A5" s="10" t="s">
        <v>3</v>
      </c>
      <c r="C5" s="10" t="s">
        <v>71</v>
      </c>
      <c r="E5" s="10" t="s">
        <v>79</v>
      </c>
      <c r="G5" s="10" t="s">
        <v>83</v>
      </c>
      <c r="I5" s="10" t="s">
        <v>85</v>
      </c>
      <c r="K5" s="103" t="s">
        <v>495</v>
      </c>
    </row>
    <row r="6" spans="1:11" x14ac:dyDescent="0.2">
      <c r="A6" s="10" t="s">
        <v>67</v>
      </c>
      <c r="C6" s="10" t="s">
        <v>72</v>
      </c>
      <c r="E6" s="10" t="s">
        <v>96</v>
      </c>
      <c r="I6" s="10" t="s">
        <v>386</v>
      </c>
      <c r="K6" s="102"/>
    </row>
    <row r="7" spans="1:11" x14ac:dyDescent="0.2">
      <c r="A7" s="10" t="s">
        <v>68</v>
      </c>
      <c r="C7" s="10" t="s">
        <v>73</v>
      </c>
      <c r="E7" s="10" t="s">
        <v>80</v>
      </c>
      <c r="I7" s="10" t="s">
        <v>100</v>
      </c>
      <c r="K7" s="102"/>
    </row>
    <row r="8" spans="1:11" x14ac:dyDescent="0.2">
      <c r="A8" s="10" t="s">
        <v>70</v>
      </c>
      <c r="C8" s="100" t="s">
        <v>498</v>
      </c>
      <c r="E8" s="10" t="s">
        <v>81</v>
      </c>
      <c r="I8" s="10" t="s">
        <v>86</v>
      </c>
    </row>
    <row r="9" spans="1:11" x14ac:dyDescent="0.2">
      <c r="A9" s="10" t="s">
        <v>74</v>
      </c>
      <c r="C9" s="100" t="s">
        <v>499</v>
      </c>
      <c r="E9" s="100" t="s">
        <v>471</v>
      </c>
      <c r="I9" s="10" t="s">
        <v>87</v>
      </c>
    </row>
    <row r="10" spans="1:11" x14ac:dyDescent="0.2">
      <c r="A10" s="11" t="s">
        <v>75</v>
      </c>
      <c r="C10" s="100" t="s">
        <v>500</v>
      </c>
      <c r="I10" s="10" t="s">
        <v>88</v>
      </c>
    </row>
    <row r="11" spans="1:11" x14ac:dyDescent="0.2">
      <c r="A11" s="11" t="s">
        <v>69</v>
      </c>
      <c r="C11" s="10"/>
      <c r="I11" s="10" t="s">
        <v>89</v>
      </c>
    </row>
    <row r="12" spans="1:11" x14ac:dyDescent="0.2">
      <c r="I12" s="10" t="s">
        <v>111</v>
      </c>
    </row>
    <row r="13" spans="1:11" x14ac:dyDescent="0.2">
      <c r="I13" s="10" t="s">
        <v>1</v>
      </c>
    </row>
    <row r="14" spans="1:11" x14ac:dyDescent="0.2">
      <c r="I14" s="10" t="s">
        <v>90</v>
      </c>
    </row>
    <row r="15" spans="1:11" x14ac:dyDescent="0.2">
      <c r="I15" s="10" t="s">
        <v>91</v>
      </c>
    </row>
  </sheetData>
  <pageMargins left="0.7" right="0.7" top="0.75" bottom="0.75" header="0.3" footer="0.3"/>
  <legacyDrawing r:id="rId1"/>
  <tableParts count="6">
    <tablePart r:id="rId2"/>
    <tablePart r:id="rId3"/>
    <tablePart r:id="rId4"/>
    <tablePart r:id="rId5"/>
    <tablePart r:id="rId6"/>
    <tablePart r:id="rId7"/>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9861-C8BD-8445-B2C6-1E035BF70EA2}">
  <dimension ref="B1:H23"/>
  <sheetViews>
    <sheetView showGridLines="0" zoomScale="110" zoomScaleNormal="110" workbookViewId="0">
      <selection activeCell="C6" sqref="C6"/>
    </sheetView>
  </sheetViews>
  <sheetFormatPr baseColWidth="10" defaultRowHeight="15" x14ac:dyDescent="0.2"/>
  <sheetData>
    <row r="1" spans="2:8" ht="16" thickBot="1" x14ac:dyDescent="0.25"/>
    <row r="2" spans="2:8" ht="16" customHeight="1" thickBot="1" x14ac:dyDescent="0.25">
      <c r="B2" s="239" t="s">
        <v>726</v>
      </c>
      <c r="C2" s="240"/>
      <c r="D2" s="240"/>
      <c r="E2" s="240"/>
      <c r="F2" s="240"/>
      <c r="G2" s="240"/>
      <c r="H2" s="241"/>
    </row>
    <row r="3" spans="2:8" ht="30" customHeight="1" thickBot="1" x14ac:dyDescent="0.25">
      <c r="B3" s="129" t="s">
        <v>727</v>
      </c>
      <c r="C3" s="130" t="s">
        <v>728</v>
      </c>
      <c r="D3" s="130" t="s">
        <v>729</v>
      </c>
      <c r="E3" s="130" t="s">
        <v>730</v>
      </c>
      <c r="F3" s="130" t="s">
        <v>731</v>
      </c>
      <c r="G3" s="130" t="s">
        <v>732</v>
      </c>
      <c r="H3" s="130" t="s">
        <v>733</v>
      </c>
    </row>
    <row r="4" spans="2:8" ht="16" thickBot="1" x14ac:dyDescent="0.25">
      <c r="B4" s="131" t="s">
        <v>88</v>
      </c>
      <c r="C4" s="132">
        <v>1</v>
      </c>
      <c r="D4" s="132" t="s">
        <v>734</v>
      </c>
      <c r="E4" s="132" t="s">
        <v>734</v>
      </c>
      <c r="F4" s="132" t="s">
        <v>734</v>
      </c>
      <c r="G4" s="132" t="s">
        <v>734</v>
      </c>
      <c r="H4" s="168">
        <f t="shared" ref="H4:H13" si="0">SUM(C4:G4)</f>
        <v>1</v>
      </c>
    </row>
    <row r="5" spans="2:8" ht="16" thickBot="1" x14ac:dyDescent="0.25">
      <c r="B5" s="131" t="s">
        <v>86</v>
      </c>
      <c r="C5" s="132">
        <v>23</v>
      </c>
      <c r="D5" s="132" t="s">
        <v>734</v>
      </c>
      <c r="E5" s="132">
        <v>58</v>
      </c>
      <c r="F5" s="132">
        <v>65</v>
      </c>
      <c r="G5" s="132" t="s">
        <v>734</v>
      </c>
      <c r="H5" s="168">
        <f t="shared" si="0"/>
        <v>146</v>
      </c>
    </row>
    <row r="6" spans="2:8" ht="25" thickBot="1" x14ac:dyDescent="0.25">
      <c r="B6" s="131" t="s">
        <v>735</v>
      </c>
      <c r="C6" s="132">
        <v>124</v>
      </c>
      <c r="D6" s="132" t="s">
        <v>734</v>
      </c>
      <c r="E6" s="133">
        <v>1080</v>
      </c>
      <c r="F6" s="132">
        <v>216</v>
      </c>
      <c r="G6" s="132" t="s">
        <v>734</v>
      </c>
      <c r="H6" s="168">
        <f t="shared" si="0"/>
        <v>1420</v>
      </c>
    </row>
    <row r="7" spans="2:8" ht="16" thickBot="1" x14ac:dyDescent="0.25">
      <c r="B7" s="131" t="s">
        <v>736</v>
      </c>
      <c r="C7" s="132">
        <v>4</v>
      </c>
      <c r="D7" s="132" t="s">
        <v>734</v>
      </c>
      <c r="E7" s="132">
        <v>1080</v>
      </c>
      <c r="F7" s="132" t="s">
        <v>734</v>
      </c>
      <c r="G7" s="132" t="s">
        <v>734</v>
      </c>
      <c r="H7" s="168">
        <f t="shared" si="0"/>
        <v>1084</v>
      </c>
    </row>
    <row r="8" spans="2:8" ht="16" thickBot="1" x14ac:dyDescent="0.25">
      <c r="B8" s="131" t="s">
        <v>737</v>
      </c>
      <c r="C8" s="132">
        <v>292</v>
      </c>
      <c r="D8" s="132" t="s">
        <v>734</v>
      </c>
      <c r="E8" s="132">
        <v>1548</v>
      </c>
      <c r="F8" s="132" t="s">
        <v>734</v>
      </c>
      <c r="G8" s="132" t="s">
        <v>734</v>
      </c>
      <c r="H8" s="168">
        <f t="shared" si="0"/>
        <v>1840</v>
      </c>
    </row>
    <row r="9" spans="2:8" ht="16" thickBot="1" x14ac:dyDescent="0.25">
      <c r="B9" s="131" t="s">
        <v>87</v>
      </c>
      <c r="C9" s="132">
        <v>167</v>
      </c>
      <c r="D9" s="132" t="s">
        <v>734</v>
      </c>
      <c r="E9" s="132" t="s">
        <v>734</v>
      </c>
      <c r="F9" s="132" t="s">
        <v>734</v>
      </c>
      <c r="G9" s="132" t="s">
        <v>734</v>
      </c>
      <c r="H9" s="168">
        <f t="shared" si="0"/>
        <v>167</v>
      </c>
    </row>
    <row r="10" spans="2:8" ht="16" thickBot="1" x14ac:dyDescent="0.25">
      <c r="B10" s="131" t="s">
        <v>89</v>
      </c>
      <c r="C10" s="132">
        <v>16</v>
      </c>
      <c r="D10" s="132" t="s">
        <v>734</v>
      </c>
      <c r="E10" s="132" t="s">
        <v>734</v>
      </c>
      <c r="F10" s="132">
        <v>378</v>
      </c>
      <c r="G10" s="133">
        <v>1890</v>
      </c>
      <c r="H10" s="168">
        <f t="shared" si="0"/>
        <v>2284</v>
      </c>
    </row>
    <row r="11" spans="2:8" ht="16" thickBot="1" x14ac:dyDescent="0.25">
      <c r="B11" s="131" t="s">
        <v>738</v>
      </c>
      <c r="C11" s="132">
        <v>51</v>
      </c>
      <c r="D11" s="132" t="s">
        <v>734</v>
      </c>
      <c r="E11" s="132" t="s">
        <v>734</v>
      </c>
      <c r="F11" s="132" t="s">
        <v>734</v>
      </c>
      <c r="G11" s="134" t="s">
        <v>734</v>
      </c>
      <c r="H11" s="168">
        <f t="shared" si="0"/>
        <v>51</v>
      </c>
    </row>
    <row r="12" spans="2:8" ht="16" thickBot="1" x14ac:dyDescent="0.25">
      <c r="B12" s="131" t="s">
        <v>387</v>
      </c>
      <c r="C12" s="132">
        <v>45</v>
      </c>
      <c r="D12" s="132" t="s">
        <v>734</v>
      </c>
      <c r="E12" s="133">
        <v>1300</v>
      </c>
      <c r="F12" s="132">
        <v>500</v>
      </c>
      <c r="G12" s="132" t="s">
        <v>734</v>
      </c>
      <c r="H12" s="168">
        <f t="shared" si="0"/>
        <v>1845</v>
      </c>
    </row>
    <row r="13" spans="2:8" ht="25" thickBot="1" x14ac:dyDescent="0.25">
      <c r="B13" s="131" t="s">
        <v>739</v>
      </c>
      <c r="C13" s="132">
        <v>63</v>
      </c>
      <c r="D13" s="132" t="s">
        <v>734</v>
      </c>
      <c r="E13" s="132" t="s">
        <v>734</v>
      </c>
      <c r="F13" s="133">
        <v>1000</v>
      </c>
      <c r="G13" s="132" t="s">
        <v>734</v>
      </c>
      <c r="H13" s="168">
        <f t="shared" si="0"/>
        <v>1063</v>
      </c>
    </row>
    <row r="14" spans="2:8" ht="37" thickBot="1" x14ac:dyDescent="0.25">
      <c r="B14" s="135" t="s">
        <v>740</v>
      </c>
      <c r="C14" s="136">
        <f>SUM(C4:C13)</f>
        <v>786</v>
      </c>
      <c r="D14" s="136">
        <f t="shared" ref="D14:G14" si="1">SUM(D4:D13)</f>
        <v>0</v>
      </c>
      <c r="E14" s="136">
        <f t="shared" si="1"/>
        <v>5066</v>
      </c>
      <c r="F14" s="136">
        <f t="shared" si="1"/>
        <v>2159</v>
      </c>
      <c r="G14" s="136">
        <f t="shared" si="1"/>
        <v>1890</v>
      </c>
      <c r="H14" s="136">
        <f>SUM(H4:H13)</f>
        <v>9901</v>
      </c>
    </row>
    <row r="15" spans="2:8" ht="16" customHeight="1" thickBot="1" x14ac:dyDescent="0.25">
      <c r="B15" s="239" t="s">
        <v>741</v>
      </c>
      <c r="C15" s="240"/>
      <c r="D15" s="240"/>
      <c r="E15" s="240"/>
      <c r="F15" s="240"/>
      <c r="G15" s="240"/>
      <c r="H15" s="241"/>
    </row>
    <row r="16" spans="2:8" ht="37" thickBot="1" x14ac:dyDescent="0.25">
      <c r="B16" s="131" t="s">
        <v>742</v>
      </c>
      <c r="C16" s="132" t="s">
        <v>734</v>
      </c>
      <c r="D16" s="132" t="s">
        <v>734</v>
      </c>
      <c r="E16" s="132">
        <v>300</v>
      </c>
      <c r="F16" s="132" t="s">
        <v>734</v>
      </c>
      <c r="G16" s="132" t="s">
        <v>734</v>
      </c>
      <c r="H16" s="134">
        <f>SUM(C16:G16)</f>
        <v>300</v>
      </c>
    </row>
    <row r="17" spans="2:8" ht="15" customHeight="1" x14ac:dyDescent="0.2">
      <c r="B17" s="242" t="s">
        <v>743</v>
      </c>
      <c r="C17" s="245">
        <v>50</v>
      </c>
      <c r="D17" s="245">
        <v>450</v>
      </c>
      <c r="E17" s="137">
        <v>900</v>
      </c>
      <c r="F17" s="248">
        <v>875</v>
      </c>
      <c r="G17" s="245" t="s">
        <v>734</v>
      </c>
      <c r="H17" s="251">
        <v>2605</v>
      </c>
    </row>
    <row r="18" spans="2:8" x14ac:dyDescent="0.2">
      <c r="B18" s="243"/>
      <c r="C18" s="246"/>
      <c r="D18" s="246"/>
      <c r="E18" s="137">
        <v>300</v>
      </c>
      <c r="F18" s="249"/>
      <c r="G18" s="246"/>
      <c r="H18" s="252"/>
    </row>
    <row r="19" spans="2:8" ht="16" thickBot="1" x14ac:dyDescent="0.25">
      <c r="B19" s="244"/>
      <c r="C19" s="247"/>
      <c r="D19" s="247"/>
      <c r="E19" s="138">
        <v>30</v>
      </c>
      <c r="F19" s="250"/>
      <c r="G19" s="247"/>
      <c r="H19" s="253"/>
    </row>
    <row r="20" spans="2:8" ht="16" thickBot="1" x14ac:dyDescent="0.25">
      <c r="B20" s="131" t="s">
        <v>1</v>
      </c>
      <c r="C20" s="132" t="s">
        <v>734</v>
      </c>
      <c r="D20" s="132" t="s">
        <v>734</v>
      </c>
      <c r="E20" s="133">
        <v>1000</v>
      </c>
      <c r="F20" s="132" t="s">
        <v>734</v>
      </c>
      <c r="G20" s="132" t="s">
        <v>734</v>
      </c>
      <c r="H20" s="139">
        <v>1000</v>
      </c>
    </row>
    <row r="21" spans="2:8" ht="25" thickBot="1" x14ac:dyDescent="0.25">
      <c r="B21" s="135" t="s">
        <v>744</v>
      </c>
      <c r="C21" s="136">
        <f t="shared" ref="C21:H21" si="2">SUM(C16:C20)</f>
        <v>50</v>
      </c>
      <c r="D21" s="136">
        <f t="shared" si="2"/>
        <v>450</v>
      </c>
      <c r="E21" s="136">
        <f>SUM(E16:E20)</f>
        <v>2530</v>
      </c>
      <c r="F21" s="136">
        <f t="shared" si="2"/>
        <v>875</v>
      </c>
      <c r="G21" s="136">
        <f t="shared" si="2"/>
        <v>0</v>
      </c>
      <c r="H21" s="136">
        <f t="shared" si="2"/>
        <v>3905</v>
      </c>
    </row>
    <row r="22" spans="2:8" ht="16" thickBot="1" x14ac:dyDescent="0.25">
      <c r="B22" s="236"/>
      <c r="C22" s="237"/>
      <c r="D22" s="237"/>
      <c r="E22" s="237"/>
      <c r="F22" s="237"/>
      <c r="G22" s="237"/>
      <c r="H22" s="238"/>
    </row>
    <row r="23" spans="2:8" ht="16" thickBot="1" x14ac:dyDescent="0.25">
      <c r="B23" s="140" t="s">
        <v>745</v>
      </c>
      <c r="C23" s="141">
        <f>C14+C21</f>
        <v>836</v>
      </c>
      <c r="D23" s="141">
        <f t="shared" ref="D23:F23" si="3">D14+D21</f>
        <v>450</v>
      </c>
      <c r="E23" s="141">
        <f>E14+E21</f>
        <v>7596</v>
      </c>
      <c r="F23" s="141">
        <f t="shared" si="3"/>
        <v>3034</v>
      </c>
      <c r="G23" s="141">
        <f>G14+G21</f>
        <v>1890</v>
      </c>
      <c r="H23" s="141">
        <f>H14+H21</f>
        <v>13806</v>
      </c>
    </row>
  </sheetData>
  <mergeCells count="9">
    <mergeCell ref="B22:H22"/>
    <mergeCell ref="B2:H2"/>
    <mergeCell ref="B15:H15"/>
    <mergeCell ref="B17:B19"/>
    <mergeCell ref="C17:C19"/>
    <mergeCell ref="D17:D19"/>
    <mergeCell ref="F17:F19"/>
    <mergeCell ref="G17:G19"/>
    <mergeCell ref="H17:H19"/>
  </mergeCells>
  <hyperlinks>
    <hyperlink ref="E17" r:id="rId1" location="_ftn1" display="applewebdata://A664DDC7-EF25-402A-BD86-85151FA7B00F/ - _ftn1" xr:uid="{8FFE209C-3D1D-924E-81A5-DF01034ABEBD}"/>
    <hyperlink ref="E18" r:id="rId2" location="_ftn2" display="applewebdata://A664DDC7-EF25-402A-BD86-85151FA7B00F/ - _ftn2" xr:uid="{9BB1460C-4643-AC4A-899C-ACD6594712EE}"/>
    <hyperlink ref="E19" r:id="rId3" location="_ftn3" display="applewebdata://A664DDC7-EF25-402A-BD86-85151FA7B00F/ - _ftn3" xr:uid="{4FE1E1D2-7E51-4E47-9233-DF18BA012CA6}"/>
    <hyperlink ref="F17" r:id="rId4" location="_ftn4" display="applewebdata://A664DDC7-EF25-402A-BD86-85151FA7B00F/ - _ftn4" xr:uid="{B87502C5-AD88-2D43-8699-454F563F98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8EFD-FF11-7A49-9D6C-3BBAAE79BCDB}">
  <dimension ref="B1:AC55"/>
  <sheetViews>
    <sheetView showGridLines="0" topLeftCell="G1" workbookViewId="0">
      <selection activeCell="AA2" sqref="AA2:AC11"/>
    </sheetView>
  </sheetViews>
  <sheetFormatPr baseColWidth="10" defaultRowHeight="15" x14ac:dyDescent="0.2"/>
  <cols>
    <col min="2" max="2" width="13.5" bestFit="1" customWidth="1"/>
    <col min="3" max="3" width="14.83203125" bestFit="1" customWidth="1"/>
    <col min="4" max="4" width="17.33203125" bestFit="1" customWidth="1"/>
    <col min="27" max="27" width="13.1640625" bestFit="1" customWidth="1"/>
    <col min="28" max="28" width="14.6640625" bestFit="1" customWidth="1"/>
    <col min="29" max="29" width="17.33203125" bestFit="1" customWidth="1"/>
  </cols>
  <sheetData>
    <row r="1" spans="2:29" ht="16" thickBot="1" x14ac:dyDescent="0.25"/>
    <row r="2" spans="2:29" x14ac:dyDescent="0.2">
      <c r="B2" s="188" t="s">
        <v>770</v>
      </c>
      <c r="C2" s="189"/>
      <c r="D2" s="190"/>
      <c r="AA2" s="188" t="s">
        <v>792</v>
      </c>
      <c r="AB2" s="189"/>
      <c r="AC2" s="190"/>
    </row>
    <row r="3" spans="2:29" ht="16" thickBot="1" x14ac:dyDescent="0.25">
      <c r="B3" s="191"/>
      <c r="C3" s="192"/>
      <c r="D3" s="193"/>
      <c r="AA3" s="191"/>
      <c r="AB3" s="192"/>
      <c r="AC3" s="193"/>
    </row>
    <row r="4" spans="2:29" x14ac:dyDescent="0.2">
      <c r="B4" s="155" t="s">
        <v>772</v>
      </c>
      <c r="C4" s="156" t="s">
        <v>773</v>
      </c>
      <c r="D4" s="157" t="s">
        <v>774</v>
      </c>
      <c r="AA4" s="163" t="s">
        <v>467</v>
      </c>
      <c r="AB4" s="162" t="s">
        <v>773</v>
      </c>
      <c r="AC4" s="164" t="s">
        <v>774</v>
      </c>
    </row>
    <row r="5" spans="2:29" x14ac:dyDescent="0.2">
      <c r="B5" s="149" t="s">
        <v>85</v>
      </c>
      <c r="C5" s="150">
        <v>285238800</v>
      </c>
      <c r="D5" s="151">
        <v>5023055268</v>
      </c>
      <c r="AA5" s="149" t="s">
        <v>468</v>
      </c>
      <c r="AB5" s="150">
        <v>171312479.22500002</v>
      </c>
      <c r="AC5" s="151">
        <v>3016812759.1522503</v>
      </c>
    </row>
    <row r="6" spans="2:29" x14ac:dyDescent="0.2">
      <c r="B6" s="149" t="s">
        <v>87</v>
      </c>
      <c r="C6" s="150">
        <v>60758387.044897959</v>
      </c>
      <c r="D6" s="151">
        <v>1069955195.860653</v>
      </c>
      <c r="AA6" s="149" t="s">
        <v>73</v>
      </c>
      <c r="AB6" s="150">
        <v>150401915.66989794</v>
      </c>
      <c r="AC6" s="151">
        <v>2648577734.9469028</v>
      </c>
    </row>
    <row r="7" spans="2:29" x14ac:dyDescent="0.2">
      <c r="B7" s="149" t="s">
        <v>386</v>
      </c>
      <c r="C7" s="150">
        <v>56872800</v>
      </c>
      <c r="D7" s="151">
        <v>1001530008</v>
      </c>
      <c r="AA7" s="149" t="s">
        <v>70</v>
      </c>
      <c r="AB7" s="150">
        <v>141087593.54134542</v>
      </c>
      <c r="AC7" s="151">
        <v>2484552522.263092</v>
      </c>
    </row>
    <row r="8" spans="2:29" x14ac:dyDescent="0.2">
      <c r="B8" s="149" t="s">
        <v>388</v>
      </c>
      <c r="C8" s="150">
        <v>55736398</v>
      </c>
      <c r="D8" s="151">
        <v>981517968.77999997</v>
      </c>
      <c r="AA8" s="149" t="s">
        <v>56</v>
      </c>
      <c r="AB8" s="150">
        <v>97365923.66080001</v>
      </c>
      <c r="AC8" s="151">
        <v>1714613915.666688</v>
      </c>
    </row>
    <row r="9" spans="2:29" x14ac:dyDescent="0.2">
      <c r="B9" s="149" t="s">
        <v>111</v>
      </c>
      <c r="C9" s="150">
        <v>50626778.410800003</v>
      </c>
      <c r="D9" s="151">
        <v>891537567.814188</v>
      </c>
      <c r="AA9" s="149" t="s">
        <v>72</v>
      </c>
      <c r="AB9" s="150">
        <v>69378421.437628731</v>
      </c>
      <c r="AC9" s="151">
        <v>1221754001.5166421</v>
      </c>
    </row>
    <row r="10" spans="2:29" ht="16" thickBot="1" x14ac:dyDescent="0.25">
      <c r="B10" s="149" t="s">
        <v>100</v>
      </c>
      <c r="C10" s="150">
        <v>50000000</v>
      </c>
      <c r="D10" s="151">
        <v>880500000</v>
      </c>
      <c r="AA10" s="152" t="s">
        <v>71</v>
      </c>
      <c r="AB10" s="153">
        <v>562768.75</v>
      </c>
      <c r="AC10" s="154">
        <v>9910357.6875</v>
      </c>
    </row>
    <row r="11" spans="2:29" ht="17" thickTop="1" thickBot="1" x14ac:dyDescent="0.25">
      <c r="B11" s="149" t="s">
        <v>387</v>
      </c>
      <c r="C11" s="150">
        <v>44335538.82897412</v>
      </c>
      <c r="D11" s="151">
        <v>780748838.77823436</v>
      </c>
      <c r="AA11" s="165" t="s">
        <v>793</v>
      </c>
      <c r="AB11" s="166">
        <v>630109102.28467214</v>
      </c>
      <c r="AC11" s="167">
        <v>11096221291.233076</v>
      </c>
    </row>
    <row r="12" spans="2:29" ht="15" customHeight="1" x14ac:dyDescent="0.2">
      <c r="B12" s="149" t="s">
        <v>86</v>
      </c>
      <c r="C12" s="150">
        <v>21141900</v>
      </c>
      <c r="D12" s="151">
        <v>372308859</v>
      </c>
      <c r="AA12" s="194" t="s">
        <v>794</v>
      </c>
      <c r="AB12" s="195"/>
      <c r="AC12" s="196"/>
    </row>
    <row r="13" spans="2:29" x14ac:dyDescent="0.2">
      <c r="B13" s="149" t="s">
        <v>84</v>
      </c>
      <c r="C13" s="150">
        <v>4144500</v>
      </c>
      <c r="D13" s="151">
        <v>72984645</v>
      </c>
      <c r="AA13" s="182"/>
      <c r="AB13" s="183"/>
      <c r="AC13" s="184"/>
    </row>
    <row r="14" spans="2:29" ht="16" thickBot="1" x14ac:dyDescent="0.25">
      <c r="B14" s="152" t="s">
        <v>88</v>
      </c>
      <c r="C14" s="153">
        <v>1254000</v>
      </c>
      <c r="D14" s="154">
        <v>22082940</v>
      </c>
      <c r="AA14" s="182"/>
      <c r="AB14" s="183"/>
      <c r="AC14" s="184"/>
    </row>
    <row r="15" spans="2:29" ht="17" thickTop="1" thickBot="1" x14ac:dyDescent="0.25">
      <c r="B15" s="158" t="s">
        <v>768</v>
      </c>
      <c r="C15" s="159">
        <v>630109102.28467202</v>
      </c>
      <c r="D15" s="160">
        <v>11096221291.233076</v>
      </c>
      <c r="AA15" s="182"/>
      <c r="AB15" s="183"/>
      <c r="AC15" s="184"/>
    </row>
    <row r="16" spans="2:29" ht="15" customHeight="1" thickBot="1" x14ac:dyDescent="0.25">
      <c r="B16" s="194" t="s">
        <v>786</v>
      </c>
      <c r="C16" s="195"/>
      <c r="D16" s="196"/>
      <c r="T16" s="200" t="s">
        <v>789</v>
      </c>
      <c r="U16" s="201"/>
      <c r="V16" s="201"/>
      <c r="W16" s="201"/>
      <c r="X16" s="201"/>
      <c r="Y16" s="202"/>
      <c r="AA16" s="182"/>
      <c r="AB16" s="183"/>
      <c r="AC16" s="184"/>
    </row>
    <row r="17" spans="2:29" ht="15" customHeight="1" thickBot="1" x14ac:dyDescent="0.25">
      <c r="B17" s="182"/>
      <c r="C17" s="183"/>
      <c r="D17" s="184"/>
      <c r="F17" s="200" t="s">
        <v>788</v>
      </c>
      <c r="G17" s="201"/>
      <c r="H17" s="201"/>
      <c r="I17" s="201"/>
      <c r="J17" s="201"/>
      <c r="K17" s="202"/>
      <c r="T17" s="203"/>
      <c r="U17" s="204"/>
      <c r="V17" s="204"/>
      <c r="W17" s="204"/>
      <c r="X17" s="204"/>
      <c r="Y17" s="205"/>
      <c r="AA17" s="197"/>
      <c r="AB17" s="198"/>
      <c r="AC17" s="199"/>
    </row>
    <row r="18" spans="2:29" x14ac:dyDescent="0.2">
      <c r="B18" s="182"/>
      <c r="C18" s="183"/>
      <c r="D18" s="184"/>
      <c r="F18" s="203"/>
      <c r="G18" s="204"/>
      <c r="H18" s="204"/>
      <c r="I18" s="204"/>
      <c r="J18" s="204"/>
      <c r="K18" s="205"/>
      <c r="M18" s="194" t="s">
        <v>787</v>
      </c>
      <c r="N18" s="195"/>
      <c r="O18" s="195"/>
      <c r="P18" s="195"/>
      <c r="Q18" s="195"/>
      <c r="R18" s="196"/>
      <c r="T18" s="203"/>
      <c r="U18" s="204"/>
      <c r="V18" s="204"/>
      <c r="W18" s="204"/>
      <c r="X18" s="204"/>
      <c r="Y18" s="205"/>
      <c r="AA18" s="170" t="s">
        <v>795</v>
      </c>
      <c r="AB18" s="171"/>
      <c r="AC18" s="172"/>
    </row>
    <row r="19" spans="2:29" x14ac:dyDescent="0.2">
      <c r="B19" s="182"/>
      <c r="C19" s="183"/>
      <c r="D19" s="184"/>
      <c r="F19" s="203"/>
      <c r="G19" s="204"/>
      <c r="H19" s="204"/>
      <c r="I19" s="204"/>
      <c r="J19" s="204"/>
      <c r="K19" s="205"/>
      <c r="M19" s="182"/>
      <c r="N19" s="183"/>
      <c r="O19" s="183"/>
      <c r="P19" s="183"/>
      <c r="Q19" s="183"/>
      <c r="R19" s="184"/>
      <c r="T19" s="203"/>
      <c r="U19" s="204"/>
      <c r="V19" s="204"/>
      <c r="W19" s="204"/>
      <c r="X19" s="204"/>
      <c r="Y19" s="205"/>
      <c r="AA19" s="173"/>
      <c r="AB19" s="174"/>
      <c r="AC19" s="175"/>
    </row>
    <row r="20" spans="2:29" x14ac:dyDescent="0.2">
      <c r="B20" s="182"/>
      <c r="C20" s="183"/>
      <c r="D20" s="184"/>
      <c r="F20" s="203"/>
      <c r="G20" s="204"/>
      <c r="H20" s="204"/>
      <c r="I20" s="204"/>
      <c r="J20" s="204"/>
      <c r="K20" s="205"/>
      <c r="M20" s="197"/>
      <c r="N20" s="198"/>
      <c r="O20" s="198"/>
      <c r="P20" s="198"/>
      <c r="Q20" s="198"/>
      <c r="R20" s="199"/>
      <c r="T20" s="203"/>
      <c r="U20" s="204"/>
      <c r="V20" s="204"/>
      <c r="W20" s="204"/>
      <c r="X20" s="204"/>
      <c r="Y20" s="205"/>
      <c r="AA20" s="173"/>
      <c r="AB20" s="174"/>
      <c r="AC20" s="175"/>
    </row>
    <row r="21" spans="2:29" ht="15" customHeight="1" x14ac:dyDescent="0.2">
      <c r="B21" s="182"/>
      <c r="C21" s="183"/>
      <c r="D21" s="184"/>
      <c r="F21" s="206"/>
      <c r="G21" s="207"/>
      <c r="H21" s="207"/>
      <c r="I21" s="207"/>
      <c r="J21" s="207"/>
      <c r="K21" s="208"/>
      <c r="M21" s="170" t="s">
        <v>781</v>
      </c>
      <c r="N21" s="171"/>
      <c r="O21" s="171"/>
      <c r="P21" s="171"/>
      <c r="Q21" s="171"/>
      <c r="R21" s="172"/>
      <c r="T21" s="206"/>
      <c r="U21" s="207"/>
      <c r="V21" s="207"/>
      <c r="W21" s="207"/>
      <c r="X21" s="207"/>
      <c r="Y21" s="208"/>
      <c r="AA21" s="176"/>
      <c r="AB21" s="177"/>
      <c r="AC21" s="178"/>
    </row>
    <row r="22" spans="2:29" ht="15" customHeight="1" x14ac:dyDescent="0.2">
      <c r="B22" s="182"/>
      <c r="C22" s="183"/>
      <c r="D22" s="184"/>
      <c r="F22" s="170" t="s">
        <v>778</v>
      </c>
      <c r="G22" s="171"/>
      <c r="H22" s="171"/>
      <c r="I22" s="171"/>
      <c r="J22" s="171"/>
      <c r="K22" s="172"/>
      <c r="M22" s="173"/>
      <c r="N22" s="174"/>
      <c r="O22" s="174"/>
      <c r="P22" s="174"/>
      <c r="Q22" s="174"/>
      <c r="R22" s="175"/>
      <c r="T22" s="179" t="s">
        <v>790</v>
      </c>
      <c r="U22" s="180"/>
      <c r="V22" s="180"/>
      <c r="W22" s="180"/>
      <c r="X22" s="180"/>
      <c r="Y22" s="181"/>
      <c r="AA22" s="170" t="s">
        <v>796</v>
      </c>
      <c r="AB22" s="171"/>
      <c r="AC22" s="172"/>
    </row>
    <row r="23" spans="2:29" x14ac:dyDescent="0.2">
      <c r="B23" s="197"/>
      <c r="C23" s="198"/>
      <c r="D23" s="199"/>
      <c r="F23" s="173"/>
      <c r="G23" s="174"/>
      <c r="H23" s="174"/>
      <c r="I23" s="174"/>
      <c r="J23" s="174"/>
      <c r="K23" s="175"/>
      <c r="M23" s="173"/>
      <c r="N23" s="174"/>
      <c r="O23" s="174"/>
      <c r="P23" s="174"/>
      <c r="Q23" s="174"/>
      <c r="R23" s="175"/>
      <c r="T23" s="182"/>
      <c r="U23" s="183"/>
      <c r="V23" s="183"/>
      <c r="W23" s="183"/>
      <c r="X23" s="183"/>
      <c r="Y23" s="184"/>
      <c r="AA23" s="173"/>
      <c r="AB23" s="174"/>
      <c r="AC23" s="175"/>
    </row>
    <row r="24" spans="2:29" x14ac:dyDescent="0.2">
      <c r="B24" s="173" t="s">
        <v>775</v>
      </c>
      <c r="C24" s="174"/>
      <c r="D24" s="175"/>
      <c r="F24" s="173"/>
      <c r="G24" s="174"/>
      <c r="H24" s="174"/>
      <c r="I24" s="174"/>
      <c r="J24" s="174"/>
      <c r="K24" s="175"/>
      <c r="M24" s="173"/>
      <c r="N24" s="174"/>
      <c r="O24" s="174"/>
      <c r="P24" s="174"/>
      <c r="Q24" s="174"/>
      <c r="R24" s="175"/>
      <c r="T24" s="182"/>
      <c r="U24" s="183"/>
      <c r="V24" s="183"/>
      <c r="W24" s="183"/>
      <c r="X24" s="183"/>
      <c r="Y24" s="184"/>
      <c r="AA24" s="173"/>
      <c r="AB24" s="174"/>
      <c r="AC24" s="175"/>
    </row>
    <row r="25" spans="2:29" x14ac:dyDescent="0.2">
      <c r="B25" s="173"/>
      <c r="C25" s="174"/>
      <c r="D25" s="175"/>
      <c r="F25" s="173"/>
      <c r="G25" s="174"/>
      <c r="H25" s="174"/>
      <c r="I25" s="174"/>
      <c r="J25" s="174"/>
      <c r="K25" s="175"/>
      <c r="M25" s="176"/>
      <c r="N25" s="177"/>
      <c r="O25" s="177"/>
      <c r="P25" s="177"/>
      <c r="Q25" s="177"/>
      <c r="R25" s="178"/>
      <c r="T25" s="182"/>
      <c r="U25" s="183"/>
      <c r="V25" s="183"/>
      <c r="W25" s="183"/>
      <c r="X25" s="183"/>
      <c r="Y25" s="184"/>
      <c r="AA25" s="173"/>
      <c r="AB25" s="174"/>
      <c r="AC25" s="175"/>
    </row>
    <row r="26" spans="2:29" x14ac:dyDescent="0.2">
      <c r="B26" s="173"/>
      <c r="C26" s="174"/>
      <c r="D26" s="175"/>
      <c r="F26" s="173"/>
      <c r="G26" s="174"/>
      <c r="H26" s="174"/>
      <c r="I26" s="174"/>
      <c r="J26" s="174"/>
      <c r="K26" s="175"/>
      <c r="M26" s="170" t="s">
        <v>782</v>
      </c>
      <c r="N26" s="171"/>
      <c r="O26" s="171"/>
      <c r="P26" s="171"/>
      <c r="Q26" s="171"/>
      <c r="R26" s="172"/>
      <c r="T26" s="182"/>
      <c r="U26" s="183"/>
      <c r="V26" s="183"/>
      <c r="W26" s="183"/>
      <c r="X26" s="183"/>
      <c r="Y26" s="184"/>
      <c r="AA26" s="173"/>
      <c r="AB26" s="174"/>
      <c r="AC26" s="175"/>
    </row>
    <row r="27" spans="2:29" x14ac:dyDescent="0.2">
      <c r="B27" s="221" t="s">
        <v>776</v>
      </c>
      <c r="C27" s="222"/>
      <c r="D27" s="223"/>
      <c r="F27" s="173"/>
      <c r="G27" s="174"/>
      <c r="H27" s="174"/>
      <c r="I27" s="174"/>
      <c r="J27" s="174"/>
      <c r="K27" s="175"/>
      <c r="M27" s="173"/>
      <c r="N27" s="174"/>
      <c r="O27" s="174"/>
      <c r="P27" s="174"/>
      <c r="Q27" s="174"/>
      <c r="R27" s="175"/>
      <c r="T27" s="182"/>
      <c r="U27" s="183"/>
      <c r="V27" s="183"/>
      <c r="W27" s="183"/>
      <c r="X27" s="183"/>
      <c r="Y27" s="184"/>
      <c r="AA27" s="176"/>
      <c r="AB27" s="177"/>
      <c r="AC27" s="178"/>
    </row>
    <row r="28" spans="2:29" ht="15" customHeight="1" x14ac:dyDescent="0.2">
      <c r="B28" s="224"/>
      <c r="C28" s="225"/>
      <c r="D28" s="226"/>
      <c r="F28" s="173"/>
      <c r="G28" s="174"/>
      <c r="H28" s="174"/>
      <c r="I28" s="174"/>
      <c r="J28" s="174"/>
      <c r="K28" s="175"/>
      <c r="M28" s="173"/>
      <c r="N28" s="174"/>
      <c r="O28" s="174"/>
      <c r="P28" s="174"/>
      <c r="Q28" s="174"/>
      <c r="R28" s="175"/>
      <c r="T28" s="182"/>
      <c r="U28" s="183"/>
      <c r="V28" s="183"/>
      <c r="W28" s="183"/>
      <c r="X28" s="183"/>
      <c r="Y28" s="184"/>
      <c r="AA28" s="170" t="s">
        <v>797</v>
      </c>
      <c r="AB28" s="171"/>
      <c r="AC28" s="172"/>
    </row>
    <row r="29" spans="2:29" x14ac:dyDescent="0.2">
      <c r="B29" s="224"/>
      <c r="C29" s="225"/>
      <c r="D29" s="226"/>
      <c r="F29" s="173"/>
      <c r="G29" s="174"/>
      <c r="H29" s="174"/>
      <c r="I29" s="174"/>
      <c r="J29" s="174"/>
      <c r="K29" s="175"/>
      <c r="M29" s="176"/>
      <c r="N29" s="177"/>
      <c r="O29" s="177"/>
      <c r="P29" s="177"/>
      <c r="Q29" s="177"/>
      <c r="R29" s="178"/>
      <c r="T29" s="182"/>
      <c r="U29" s="183"/>
      <c r="V29" s="183"/>
      <c r="W29" s="183"/>
      <c r="X29" s="183"/>
      <c r="Y29" s="184"/>
      <c r="AA29" s="173"/>
      <c r="AB29" s="174"/>
      <c r="AC29" s="175"/>
    </row>
    <row r="30" spans="2:29" ht="15" customHeight="1" x14ac:dyDescent="0.2">
      <c r="B30" s="170" t="s">
        <v>777</v>
      </c>
      <c r="C30" s="171"/>
      <c r="D30" s="172"/>
      <c r="F30" s="176"/>
      <c r="G30" s="177"/>
      <c r="H30" s="177"/>
      <c r="I30" s="177"/>
      <c r="J30" s="177"/>
      <c r="K30" s="178"/>
      <c r="M30" s="170" t="s">
        <v>784</v>
      </c>
      <c r="N30" s="171"/>
      <c r="O30" s="171"/>
      <c r="P30" s="171"/>
      <c r="Q30" s="171"/>
      <c r="R30" s="172"/>
      <c r="T30" s="182"/>
      <c r="U30" s="183"/>
      <c r="V30" s="183"/>
      <c r="W30" s="183"/>
      <c r="X30" s="183"/>
      <c r="Y30" s="184"/>
      <c r="AA30" s="173"/>
      <c r="AB30" s="174"/>
      <c r="AC30" s="175"/>
    </row>
    <row r="31" spans="2:29" ht="15" customHeight="1" x14ac:dyDescent="0.2">
      <c r="B31" s="173"/>
      <c r="C31" s="174"/>
      <c r="D31" s="175"/>
      <c r="F31" s="221" t="s">
        <v>779</v>
      </c>
      <c r="G31" s="222"/>
      <c r="H31" s="222"/>
      <c r="I31" s="222"/>
      <c r="J31" s="222"/>
      <c r="K31" s="223"/>
      <c r="M31" s="176"/>
      <c r="N31" s="177"/>
      <c r="O31" s="177"/>
      <c r="P31" s="177"/>
      <c r="Q31" s="177"/>
      <c r="R31" s="178"/>
      <c r="T31" s="182"/>
      <c r="U31" s="183"/>
      <c r="V31" s="183"/>
      <c r="W31" s="183"/>
      <c r="X31" s="183"/>
      <c r="Y31" s="184"/>
      <c r="AA31" s="173"/>
      <c r="AB31" s="174"/>
      <c r="AC31" s="175"/>
    </row>
    <row r="32" spans="2:29" ht="15" customHeight="1" x14ac:dyDescent="0.2">
      <c r="B32" s="173"/>
      <c r="C32" s="174"/>
      <c r="D32" s="175"/>
      <c r="F32" s="224"/>
      <c r="G32" s="225"/>
      <c r="H32" s="225"/>
      <c r="I32" s="225"/>
      <c r="J32" s="225"/>
      <c r="K32" s="226"/>
      <c r="M32" s="212" t="s">
        <v>783</v>
      </c>
      <c r="N32" s="213"/>
      <c r="O32" s="213"/>
      <c r="P32" s="213"/>
      <c r="Q32" s="213"/>
      <c r="R32" s="214"/>
      <c r="T32" s="182"/>
      <c r="U32" s="183"/>
      <c r="V32" s="183"/>
      <c r="W32" s="183"/>
      <c r="X32" s="183"/>
      <c r="Y32" s="184"/>
      <c r="AA32" s="176"/>
      <c r="AB32" s="177"/>
      <c r="AC32" s="178"/>
    </row>
    <row r="33" spans="2:29" ht="15" customHeight="1" x14ac:dyDescent="0.2">
      <c r="B33" s="173"/>
      <c r="C33" s="174"/>
      <c r="D33" s="175"/>
      <c r="F33" s="224"/>
      <c r="G33" s="225"/>
      <c r="H33" s="225"/>
      <c r="I33" s="225"/>
      <c r="J33" s="225"/>
      <c r="K33" s="226"/>
      <c r="M33" s="215"/>
      <c r="N33" s="216"/>
      <c r="O33" s="216"/>
      <c r="P33" s="216"/>
      <c r="Q33" s="216"/>
      <c r="R33" s="217"/>
      <c r="T33" s="182"/>
      <c r="U33" s="183"/>
      <c r="V33" s="183"/>
      <c r="W33" s="183"/>
      <c r="X33" s="183"/>
      <c r="Y33" s="184"/>
      <c r="AA33" s="170" t="s">
        <v>798</v>
      </c>
      <c r="AB33" s="171"/>
      <c r="AC33" s="172"/>
    </row>
    <row r="34" spans="2:29" ht="16" thickBot="1" x14ac:dyDescent="0.25">
      <c r="B34" s="209"/>
      <c r="C34" s="210"/>
      <c r="D34" s="211"/>
      <c r="F34" s="224"/>
      <c r="G34" s="225"/>
      <c r="H34" s="225"/>
      <c r="I34" s="225"/>
      <c r="J34" s="225"/>
      <c r="K34" s="226"/>
      <c r="M34" s="215"/>
      <c r="N34" s="216"/>
      <c r="O34" s="216"/>
      <c r="P34" s="216"/>
      <c r="Q34" s="216"/>
      <c r="R34" s="217"/>
      <c r="T34" s="182"/>
      <c r="U34" s="183"/>
      <c r="V34" s="183"/>
      <c r="W34" s="183"/>
      <c r="X34" s="183"/>
      <c r="Y34" s="184"/>
      <c r="AA34" s="173"/>
      <c r="AB34" s="174"/>
      <c r="AC34" s="175"/>
    </row>
    <row r="35" spans="2:29" x14ac:dyDescent="0.2">
      <c r="F35" s="224"/>
      <c r="G35" s="225"/>
      <c r="H35" s="225"/>
      <c r="I35" s="225"/>
      <c r="J35" s="225"/>
      <c r="K35" s="226"/>
      <c r="M35" s="215"/>
      <c r="N35" s="216"/>
      <c r="O35" s="216"/>
      <c r="P35" s="216"/>
      <c r="Q35" s="216"/>
      <c r="R35" s="217"/>
      <c r="T35" s="182"/>
      <c r="U35" s="183"/>
      <c r="V35" s="183"/>
      <c r="W35" s="183"/>
      <c r="X35" s="183"/>
      <c r="Y35" s="184"/>
      <c r="AA35" s="173"/>
      <c r="AB35" s="174"/>
      <c r="AC35" s="175"/>
    </row>
    <row r="36" spans="2:29" x14ac:dyDescent="0.2">
      <c r="F36" s="224"/>
      <c r="G36" s="225"/>
      <c r="H36" s="225"/>
      <c r="I36" s="225"/>
      <c r="J36" s="225"/>
      <c r="K36" s="226"/>
      <c r="M36" s="215"/>
      <c r="N36" s="216"/>
      <c r="O36" s="216"/>
      <c r="P36" s="216"/>
      <c r="Q36" s="216"/>
      <c r="R36" s="217"/>
      <c r="T36" s="182"/>
      <c r="U36" s="183"/>
      <c r="V36" s="183"/>
      <c r="W36" s="183"/>
      <c r="X36" s="183"/>
      <c r="Y36" s="184"/>
      <c r="AA36" s="173"/>
      <c r="AB36" s="174"/>
      <c r="AC36" s="175"/>
    </row>
    <row r="37" spans="2:29" x14ac:dyDescent="0.2">
      <c r="F37" s="224"/>
      <c r="G37" s="225"/>
      <c r="H37" s="225"/>
      <c r="I37" s="225"/>
      <c r="J37" s="225"/>
      <c r="K37" s="226"/>
      <c r="M37" s="215"/>
      <c r="N37" s="216"/>
      <c r="O37" s="216"/>
      <c r="P37" s="216"/>
      <c r="Q37" s="216"/>
      <c r="R37" s="217"/>
      <c r="T37" s="182"/>
      <c r="U37" s="183"/>
      <c r="V37" s="183"/>
      <c r="W37" s="183"/>
      <c r="X37" s="183"/>
      <c r="Y37" s="184"/>
      <c r="AA37" s="173"/>
      <c r="AB37" s="174"/>
      <c r="AC37" s="175"/>
    </row>
    <row r="38" spans="2:29" x14ac:dyDescent="0.2">
      <c r="F38" s="227"/>
      <c r="G38" s="228"/>
      <c r="H38" s="228"/>
      <c r="I38" s="228"/>
      <c r="J38" s="228"/>
      <c r="K38" s="229"/>
      <c r="M38" s="215"/>
      <c r="N38" s="216"/>
      <c r="O38" s="216"/>
      <c r="P38" s="216"/>
      <c r="Q38" s="216"/>
      <c r="R38" s="217"/>
      <c r="T38" s="197"/>
      <c r="U38" s="198"/>
      <c r="V38" s="198"/>
      <c r="W38" s="198"/>
      <c r="X38" s="198"/>
      <c r="Y38" s="199"/>
      <c r="AA38" s="176"/>
      <c r="AB38" s="177"/>
      <c r="AC38" s="178"/>
    </row>
    <row r="39" spans="2:29" ht="15" customHeight="1" x14ac:dyDescent="0.2">
      <c r="F39" s="179" t="s">
        <v>780</v>
      </c>
      <c r="G39" s="180"/>
      <c r="H39" s="180"/>
      <c r="I39" s="180"/>
      <c r="J39" s="180"/>
      <c r="K39" s="181"/>
      <c r="M39" s="218"/>
      <c r="N39" s="219"/>
      <c r="O39" s="219"/>
      <c r="P39" s="219"/>
      <c r="Q39" s="219"/>
      <c r="R39" s="220"/>
      <c r="T39" s="179" t="s">
        <v>791</v>
      </c>
      <c r="U39" s="180"/>
      <c r="V39" s="180"/>
      <c r="W39" s="180"/>
      <c r="X39" s="180"/>
      <c r="Y39" s="181"/>
      <c r="AA39" s="170" t="s">
        <v>799</v>
      </c>
      <c r="AB39" s="171"/>
      <c r="AC39" s="172"/>
    </row>
    <row r="40" spans="2:29" ht="15" customHeight="1" x14ac:dyDescent="0.2">
      <c r="F40" s="182"/>
      <c r="G40" s="183"/>
      <c r="H40" s="183"/>
      <c r="I40" s="183"/>
      <c r="J40" s="183"/>
      <c r="K40" s="184"/>
      <c r="M40" s="170" t="s">
        <v>785</v>
      </c>
      <c r="N40" s="171"/>
      <c r="O40" s="171"/>
      <c r="P40" s="171"/>
      <c r="Q40" s="171"/>
      <c r="R40" s="172"/>
      <c r="T40" s="182"/>
      <c r="U40" s="183"/>
      <c r="V40" s="183"/>
      <c r="W40" s="183"/>
      <c r="X40" s="183"/>
      <c r="Y40" s="184"/>
      <c r="AA40" s="173"/>
      <c r="AB40" s="174"/>
      <c r="AC40" s="175"/>
    </row>
    <row r="41" spans="2:29" x14ac:dyDescent="0.2">
      <c r="F41" s="182"/>
      <c r="G41" s="183"/>
      <c r="H41" s="183"/>
      <c r="I41" s="183"/>
      <c r="J41" s="183"/>
      <c r="K41" s="184"/>
      <c r="M41" s="173"/>
      <c r="N41" s="174"/>
      <c r="O41" s="174"/>
      <c r="P41" s="174"/>
      <c r="Q41" s="174"/>
      <c r="R41" s="175"/>
      <c r="T41" s="182"/>
      <c r="U41" s="183"/>
      <c r="V41" s="183"/>
      <c r="W41" s="183"/>
      <c r="X41" s="183"/>
      <c r="Y41" s="184"/>
      <c r="AA41" s="173"/>
      <c r="AB41" s="174"/>
      <c r="AC41" s="175"/>
    </row>
    <row r="42" spans="2:29" ht="16" thickBot="1" x14ac:dyDescent="0.25">
      <c r="F42" s="185"/>
      <c r="G42" s="186"/>
      <c r="H42" s="186"/>
      <c r="I42" s="186"/>
      <c r="J42" s="186"/>
      <c r="K42" s="187"/>
      <c r="M42" s="173"/>
      <c r="N42" s="174"/>
      <c r="O42" s="174"/>
      <c r="P42" s="174"/>
      <c r="Q42" s="174"/>
      <c r="R42" s="175"/>
      <c r="T42" s="182"/>
      <c r="U42" s="183"/>
      <c r="V42" s="183"/>
      <c r="W42" s="183"/>
      <c r="X42" s="183"/>
      <c r="Y42" s="184"/>
      <c r="AA42" s="173"/>
      <c r="AB42" s="174"/>
      <c r="AC42" s="175"/>
    </row>
    <row r="43" spans="2:29" ht="16" thickBot="1" x14ac:dyDescent="0.25">
      <c r="M43" s="209"/>
      <c r="N43" s="210"/>
      <c r="O43" s="210"/>
      <c r="P43" s="210"/>
      <c r="Q43" s="210"/>
      <c r="R43" s="211"/>
      <c r="T43" s="185"/>
      <c r="U43" s="186"/>
      <c r="V43" s="186"/>
      <c r="W43" s="186"/>
      <c r="X43" s="186"/>
      <c r="Y43" s="187"/>
      <c r="AA43" s="173"/>
      <c r="AB43" s="174"/>
      <c r="AC43" s="175"/>
    </row>
    <row r="44" spans="2:29" x14ac:dyDescent="0.2">
      <c r="AA44" s="176"/>
      <c r="AB44" s="177"/>
      <c r="AC44" s="178"/>
    </row>
    <row r="45" spans="2:29" x14ac:dyDescent="0.2">
      <c r="AA45" s="170" t="s">
        <v>800</v>
      </c>
      <c r="AB45" s="171"/>
      <c r="AC45" s="172"/>
    </row>
    <row r="46" spans="2:29" x14ac:dyDescent="0.2">
      <c r="AA46" s="173"/>
      <c r="AB46" s="174"/>
      <c r="AC46" s="175"/>
    </row>
    <row r="47" spans="2:29" x14ac:dyDescent="0.2">
      <c r="AA47" s="173"/>
      <c r="AB47" s="174"/>
      <c r="AC47" s="175"/>
    </row>
    <row r="48" spans="2:29" x14ac:dyDescent="0.2">
      <c r="AA48" s="173"/>
      <c r="AB48" s="174"/>
      <c r="AC48" s="175"/>
    </row>
    <row r="49" spans="27:29" x14ac:dyDescent="0.2">
      <c r="AA49" s="176"/>
      <c r="AB49" s="177"/>
      <c r="AC49" s="178"/>
    </row>
    <row r="50" spans="27:29" ht="15" customHeight="1" x14ac:dyDescent="0.2">
      <c r="AA50" s="179" t="s">
        <v>801</v>
      </c>
      <c r="AB50" s="180"/>
      <c r="AC50" s="181"/>
    </row>
    <row r="51" spans="27:29" x14ac:dyDescent="0.2">
      <c r="AA51" s="182"/>
      <c r="AB51" s="183"/>
      <c r="AC51" s="184"/>
    </row>
    <row r="52" spans="27:29" x14ac:dyDescent="0.2">
      <c r="AA52" s="182"/>
      <c r="AB52" s="183"/>
      <c r="AC52" s="184"/>
    </row>
    <row r="53" spans="27:29" x14ac:dyDescent="0.2">
      <c r="AA53" s="182"/>
      <c r="AB53" s="183"/>
      <c r="AC53" s="184"/>
    </row>
    <row r="54" spans="27:29" x14ac:dyDescent="0.2">
      <c r="AA54" s="182"/>
      <c r="AB54" s="183"/>
      <c r="AC54" s="184"/>
    </row>
    <row r="55" spans="27:29" ht="16" thickBot="1" x14ac:dyDescent="0.25">
      <c r="AA55" s="185"/>
      <c r="AB55" s="186"/>
      <c r="AC55" s="187"/>
    </row>
  </sheetData>
  <mergeCells count="27">
    <mergeCell ref="B2:D3"/>
    <mergeCell ref="B16:D23"/>
    <mergeCell ref="M18:R20"/>
    <mergeCell ref="M21:R25"/>
    <mergeCell ref="M26:R29"/>
    <mergeCell ref="B24:D26"/>
    <mergeCell ref="B27:D29"/>
    <mergeCell ref="B30:D34"/>
    <mergeCell ref="F17:K21"/>
    <mergeCell ref="F22:K30"/>
    <mergeCell ref="T39:Y43"/>
    <mergeCell ref="M32:R39"/>
    <mergeCell ref="M40:R43"/>
    <mergeCell ref="F31:K38"/>
    <mergeCell ref="F39:K42"/>
    <mergeCell ref="M30:R31"/>
    <mergeCell ref="AA2:AC3"/>
    <mergeCell ref="AA12:AC17"/>
    <mergeCell ref="AA18:AC21"/>
    <mergeCell ref="T16:Y21"/>
    <mergeCell ref="T22:Y38"/>
    <mergeCell ref="AA39:AC44"/>
    <mergeCell ref="AA45:AC49"/>
    <mergeCell ref="AA50:AC55"/>
    <mergeCell ref="AA22:AC27"/>
    <mergeCell ref="AA28:AC32"/>
    <mergeCell ref="AA33:AC38"/>
  </mergeCells>
  <conditionalFormatting sqref="C5:C14">
    <cfRule type="dataBar" priority="6">
      <dataBar>
        <cfvo type="min"/>
        <cfvo type="max"/>
        <color rgb="FF638EC6"/>
      </dataBar>
      <extLst>
        <ext xmlns:x14="http://schemas.microsoft.com/office/spreadsheetml/2009/9/main" uri="{B025F937-C7B1-47D3-B67F-A62EFF666E3E}">
          <x14:id>{0B2731A7-72D1-2145-9793-B8FA6221BDBD}</x14:id>
        </ext>
      </extLst>
    </cfRule>
  </conditionalFormatting>
  <conditionalFormatting sqref="D5:D14">
    <cfRule type="dataBar" priority="5">
      <dataBar>
        <cfvo type="min"/>
        <cfvo type="max"/>
        <color rgb="FF63C384"/>
      </dataBar>
      <extLst>
        <ext xmlns:x14="http://schemas.microsoft.com/office/spreadsheetml/2009/9/main" uri="{B025F937-C7B1-47D3-B67F-A62EFF666E3E}">
          <x14:id>{308D85CA-8ECD-B543-A2E2-1B321D7A0887}</x14:id>
        </ext>
      </extLst>
    </cfRule>
  </conditionalFormatting>
  <conditionalFormatting sqref="AB5:AB10">
    <cfRule type="dataBar" priority="2">
      <dataBar>
        <cfvo type="min"/>
        <cfvo type="max"/>
        <color rgb="FF638EC6"/>
      </dataBar>
      <extLst>
        <ext xmlns:x14="http://schemas.microsoft.com/office/spreadsheetml/2009/9/main" uri="{B025F937-C7B1-47D3-B67F-A62EFF666E3E}">
          <x14:id>{9668C213-ECF1-EC4B-BB03-3D85193666F6}</x14:id>
        </ext>
      </extLst>
    </cfRule>
  </conditionalFormatting>
  <conditionalFormatting sqref="AC5:AC10">
    <cfRule type="dataBar" priority="1">
      <dataBar>
        <cfvo type="min"/>
        <cfvo type="max"/>
        <color rgb="FF63C384"/>
      </dataBar>
      <extLst>
        <ext xmlns:x14="http://schemas.microsoft.com/office/spreadsheetml/2009/9/main" uri="{B025F937-C7B1-47D3-B67F-A62EFF666E3E}">
          <x14:id>{87CF0C52-D56A-7041-8238-49B36C91C282}</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0B2731A7-72D1-2145-9793-B8FA6221BDBD}">
            <x14:dataBar minLength="0" maxLength="100" border="1" negativeBarBorderColorSameAsPositive="0">
              <x14:cfvo type="autoMin"/>
              <x14:cfvo type="autoMax"/>
              <x14:borderColor rgb="FF638EC6"/>
              <x14:negativeFillColor rgb="FFFF0000"/>
              <x14:negativeBorderColor rgb="FFFF0000"/>
              <x14:axisColor rgb="FF000000"/>
            </x14:dataBar>
          </x14:cfRule>
          <xm:sqref>C5:C14</xm:sqref>
        </x14:conditionalFormatting>
        <x14:conditionalFormatting xmlns:xm="http://schemas.microsoft.com/office/excel/2006/main">
          <x14:cfRule type="dataBar" id="{308D85CA-8ECD-B543-A2E2-1B321D7A0887}">
            <x14:dataBar minLength="0" maxLength="100" border="1" negativeBarBorderColorSameAsPositive="0">
              <x14:cfvo type="autoMin"/>
              <x14:cfvo type="autoMax"/>
              <x14:borderColor rgb="FF63C384"/>
              <x14:negativeFillColor rgb="FFFF0000"/>
              <x14:negativeBorderColor rgb="FFFF0000"/>
              <x14:axisColor rgb="FF000000"/>
            </x14:dataBar>
          </x14:cfRule>
          <xm:sqref>D5:D14</xm:sqref>
        </x14:conditionalFormatting>
        <x14:conditionalFormatting xmlns:xm="http://schemas.microsoft.com/office/excel/2006/main">
          <x14:cfRule type="dataBar" id="{9668C213-ECF1-EC4B-BB03-3D85193666F6}">
            <x14:dataBar minLength="0" maxLength="100" border="1" negativeBarBorderColorSameAsPositive="0">
              <x14:cfvo type="autoMin"/>
              <x14:cfvo type="autoMax"/>
              <x14:borderColor rgb="FF638EC6"/>
              <x14:negativeFillColor rgb="FFFF0000"/>
              <x14:negativeBorderColor rgb="FFFF0000"/>
              <x14:axisColor rgb="FF000000"/>
            </x14:dataBar>
          </x14:cfRule>
          <xm:sqref>AB5:AB10</xm:sqref>
        </x14:conditionalFormatting>
        <x14:conditionalFormatting xmlns:xm="http://schemas.microsoft.com/office/excel/2006/main">
          <x14:cfRule type="dataBar" id="{87CF0C52-D56A-7041-8238-49B36C91C282}">
            <x14:dataBar minLength="0" maxLength="100" border="1" negativeBarBorderColorSameAsPositive="0">
              <x14:cfvo type="autoMin"/>
              <x14:cfvo type="autoMax"/>
              <x14:borderColor rgb="FF63C384"/>
              <x14:negativeFillColor rgb="FFFF0000"/>
              <x14:negativeBorderColor rgb="FFFF0000"/>
              <x14:axisColor rgb="FF000000"/>
            </x14:dataBar>
          </x14:cfRule>
          <xm:sqref>AC5:AC10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A657-3C6A-EB40-8AE4-93075D847272}">
  <dimension ref="A1:O188"/>
  <sheetViews>
    <sheetView showGridLines="0" zoomScaleNormal="100" workbookViewId="0">
      <pane xSplit="1" ySplit="4" topLeftCell="B137" activePane="bottomRight" state="frozen"/>
      <selection pane="topRight" activeCell="B1" sqref="B1"/>
      <selection pane="bottomLeft" activeCell="A5" sqref="A5"/>
      <selection pane="bottomRight" activeCell="K139" sqref="K139:K141"/>
    </sheetView>
  </sheetViews>
  <sheetFormatPr baseColWidth="10" defaultRowHeight="15" x14ac:dyDescent="0.2"/>
  <cols>
    <col min="1" max="1" width="11.1640625" customWidth="1"/>
    <col min="2" max="2" width="20.1640625" bestFit="1" customWidth="1"/>
    <col min="3" max="3" width="24.33203125" style="1" customWidth="1"/>
    <col min="4" max="4" width="13" style="57" bestFit="1" customWidth="1"/>
    <col min="5" max="5" width="15.6640625" style="30" bestFit="1" customWidth="1"/>
    <col min="6" max="6" width="14.6640625" bestFit="1" customWidth="1"/>
    <col min="7" max="7" width="30.6640625" customWidth="1"/>
    <col min="8" max="8" width="31.6640625" bestFit="1" customWidth="1"/>
    <col min="9" max="9" width="30.6640625" customWidth="1"/>
    <col min="10" max="10" width="16" customWidth="1"/>
    <col min="11" max="11" width="51.83203125" customWidth="1"/>
    <col min="12" max="12" width="32.83203125" bestFit="1" customWidth="1"/>
    <col min="13" max="13" width="25.6640625" bestFit="1" customWidth="1"/>
  </cols>
  <sheetData>
    <row r="1" spans="1:13" ht="15" customHeight="1" x14ac:dyDescent="0.2">
      <c r="A1" s="231" t="s">
        <v>564</v>
      </c>
      <c r="B1" s="231"/>
      <c r="C1" s="231"/>
      <c r="D1" s="231"/>
      <c r="E1" s="142" t="s">
        <v>746</v>
      </c>
    </row>
    <row r="2" spans="1:13" ht="15" customHeight="1" x14ac:dyDescent="0.2">
      <c r="A2" s="231"/>
      <c r="B2" s="231"/>
      <c r="C2" s="231"/>
      <c r="D2" s="231"/>
      <c r="E2" s="232">
        <v>17.61</v>
      </c>
    </row>
    <row r="3" spans="1:13" ht="16" customHeight="1" x14ac:dyDescent="0.2">
      <c r="A3" s="231"/>
      <c r="B3" s="231"/>
      <c r="C3" s="231"/>
      <c r="D3" s="231"/>
      <c r="E3" s="233"/>
    </row>
    <row r="4" spans="1:13" ht="16" customHeight="1" x14ac:dyDescent="0.2">
      <c r="A4" t="s">
        <v>104</v>
      </c>
      <c r="B4" s="105" t="s">
        <v>467</v>
      </c>
      <c r="C4" s="106" t="s">
        <v>469</v>
      </c>
      <c r="D4" s="44" t="s">
        <v>176</v>
      </c>
      <c r="E4" s="44" t="s">
        <v>38</v>
      </c>
      <c r="F4" s="44" t="s">
        <v>95</v>
      </c>
      <c r="G4" s="107" t="s">
        <v>350</v>
      </c>
      <c r="H4" s="107" t="s">
        <v>565</v>
      </c>
      <c r="I4" s="107" t="s">
        <v>566</v>
      </c>
      <c r="J4" s="108" t="s">
        <v>470</v>
      </c>
      <c r="K4" s="109" t="s">
        <v>472</v>
      </c>
      <c r="L4" s="45" t="s">
        <v>496</v>
      </c>
      <c r="M4" s="45" t="s">
        <v>497</v>
      </c>
    </row>
    <row r="5" spans="1:13" ht="96" x14ac:dyDescent="0.2">
      <c r="A5" s="65" t="s">
        <v>105</v>
      </c>
      <c r="B5" s="65" t="s">
        <v>468</v>
      </c>
      <c r="C5" s="63" t="s">
        <v>3</v>
      </c>
      <c r="D5" s="69">
        <v>162000</v>
      </c>
      <c r="E5" s="73">
        <f>Table819[[#This Row],[Total US$ ]]*$E$2</f>
        <v>2852820</v>
      </c>
      <c r="F5" s="65" t="s">
        <v>386</v>
      </c>
      <c r="G5" s="63" t="s">
        <v>389</v>
      </c>
      <c r="H5" s="63"/>
      <c r="I5" s="63"/>
      <c r="J5" s="110" t="s">
        <v>495</v>
      </c>
      <c r="K5" s="63" t="s">
        <v>391</v>
      </c>
      <c r="L5" s="85">
        <v>44562</v>
      </c>
      <c r="M5" s="85">
        <v>45289</v>
      </c>
    </row>
    <row r="6" spans="1:13" ht="144" x14ac:dyDescent="0.2">
      <c r="A6" s="65" t="s">
        <v>106</v>
      </c>
      <c r="B6" s="65" t="s">
        <v>468</v>
      </c>
      <c r="C6" s="62" t="s">
        <v>13</v>
      </c>
      <c r="D6" s="69">
        <v>2160000</v>
      </c>
      <c r="E6" s="73">
        <f>Table819[[#This Row],[Total US$ ]]*$E$2</f>
        <v>38037600</v>
      </c>
      <c r="F6" s="65" t="s">
        <v>386</v>
      </c>
      <c r="G6" s="64" t="s">
        <v>53</v>
      </c>
      <c r="H6" s="64"/>
      <c r="I6" s="64"/>
      <c r="J6" s="110" t="s">
        <v>494</v>
      </c>
      <c r="K6" s="63" t="s">
        <v>392</v>
      </c>
      <c r="L6" s="85">
        <v>44501</v>
      </c>
      <c r="M6" s="85">
        <v>45657</v>
      </c>
    </row>
    <row r="7" spans="1:13" ht="96" x14ac:dyDescent="0.2">
      <c r="A7" s="65" t="s">
        <v>107</v>
      </c>
      <c r="B7" s="65" t="s">
        <v>73</v>
      </c>
      <c r="C7" s="62" t="s">
        <v>13</v>
      </c>
      <c r="D7" s="69">
        <v>86400</v>
      </c>
      <c r="E7" s="73">
        <f>Table819[[#This Row],[Total US$ ]]*$E$2</f>
        <v>1521504</v>
      </c>
      <c r="F7" s="65" t="s">
        <v>386</v>
      </c>
      <c r="G7" s="63" t="s">
        <v>389</v>
      </c>
      <c r="H7" s="63"/>
      <c r="I7" s="63"/>
      <c r="J7" s="110" t="s">
        <v>494</v>
      </c>
      <c r="K7" s="63" t="s">
        <v>393</v>
      </c>
      <c r="L7" s="85">
        <v>44928</v>
      </c>
      <c r="M7" s="85">
        <v>45657</v>
      </c>
    </row>
    <row r="8" spans="1:13" ht="80" x14ac:dyDescent="0.2">
      <c r="A8" s="65" t="s">
        <v>108</v>
      </c>
      <c r="B8" s="65" t="s">
        <v>468</v>
      </c>
      <c r="C8" s="62" t="s">
        <v>13</v>
      </c>
      <c r="D8" s="69">
        <v>21600</v>
      </c>
      <c r="E8" s="73">
        <f>Table819[[#This Row],[Total US$ ]]*$E$2</f>
        <v>380376</v>
      </c>
      <c r="F8" s="65" t="s">
        <v>386</v>
      </c>
      <c r="G8" s="63" t="s">
        <v>389</v>
      </c>
      <c r="H8" s="63"/>
      <c r="I8" s="63"/>
      <c r="J8" s="110" t="s">
        <v>495</v>
      </c>
      <c r="K8" s="89" t="s">
        <v>394</v>
      </c>
      <c r="L8" s="85">
        <v>44927</v>
      </c>
      <c r="M8" s="85">
        <v>45291</v>
      </c>
    </row>
    <row r="9" spans="1:13" ht="144" x14ac:dyDescent="0.2">
      <c r="A9" s="65" t="s">
        <v>298</v>
      </c>
      <c r="B9" s="65" t="s">
        <v>56</v>
      </c>
      <c r="C9" s="62" t="s">
        <v>22</v>
      </c>
      <c r="D9" s="69">
        <v>16200000.000000002</v>
      </c>
      <c r="E9" s="73">
        <f>Table819[[#This Row],[Total US$ ]]*$E$2</f>
        <v>285282000</v>
      </c>
      <c r="F9" s="65" t="s">
        <v>386</v>
      </c>
      <c r="G9" s="76" t="s">
        <v>390</v>
      </c>
      <c r="H9" s="76"/>
      <c r="I9" s="76"/>
      <c r="J9" s="110" t="s">
        <v>494</v>
      </c>
      <c r="K9" s="89" t="s">
        <v>395</v>
      </c>
      <c r="L9" s="85">
        <v>45017</v>
      </c>
      <c r="M9" s="85">
        <v>46752</v>
      </c>
    </row>
    <row r="10" spans="1:13" ht="160" x14ac:dyDescent="0.2">
      <c r="A10" s="65" t="s">
        <v>109</v>
      </c>
      <c r="B10" s="65" t="s">
        <v>72</v>
      </c>
      <c r="C10" s="62" t="s">
        <v>32</v>
      </c>
      <c r="D10" s="69">
        <v>172800</v>
      </c>
      <c r="E10" s="73">
        <f>Table819[[#This Row],[Total US$ ]]*$E$2</f>
        <v>3043008</v>
      </c>
      <c r="F10" s="65" t="s">
        <v>386</v>
      </c>
      <c r="G10" s="64" t="s">
        <v>33</v>
      </c>
      <c r="H10" s="64"/>
      <c r="I10" s="64"/>
      <c r="J10" s="110" t="s">
        <v>494</v>
      </c>
      <c r="K10" s="63" t="s">
        <v>396</v>
      </c>
      <c r="L10" s="85">
        <v>44562</v>
      </c>
      <c r="M10" s="85">
        <v>46387</v>
      </c>
    </row>
    <row r="11" spans="1:13" ht="32" x14ac:dyDescent="0.2">
      <c r="A11" s="65" t="s">
        <v>415</v>
      </c>
      <c r="B11" s="65" t="s">
        <v>72</v>
      </c>
      <c r="C11" s="62" t="s">
        <v>32</v>
      </c>
      <c r="D11" s="69">
        <v>270000</v>
      </c>
      <c r="E11" s="73">
        <f>Table819[[#This Row],[Total US$ ]]*$E$2</f>
        <v>4754700</v>
      </c>
      <c r="F11" s="65" t="s">
        <v>386</v>
      </c>
      <c r="G11" s="64" t="s">
        <v>416</v>
      </c>
      <c r="H11" s="64"/>
      <c r="I11" s="64"/>
      <c r="J11" s="110" t="s">
        <v>494</v>
      </c>
      <c r="K11" s="63" t="s">
        <v>427</v>
      </c>
      <c r="L11" s="85">
        <v>44562</v>
      </c>
      <c r="M11" s="85">
        <v>46387</v>
      </c>
    </row>
    <row r="12" spans="1:13" ht="128" x14ac:dyDescent="0.2">
      <c r="A12" s="65" t="s">
        <v>110</v>
      </c>
      <c r="B12" s="65" t="s">
        <v>468</v>
      </c>
      <c r="C12" s="63" t="s">
        <v>35</v>
      </c>
      <c r="D12" s="69">
        <v>37800000</v>
      </c>
      <c r="E12" s="73">
        <f>Table819[[#This Row],[Total US$ ]]*$E$2</f>
        <v>665658000</v>
      </c>
      <c r="F12" s="65" t="s">
        <v>386</v>
      </c>
      <c r="G12" s="64" t="s">
        <v>59</v>
      </c>
      <c r="H12" s="64"/>
      <c r="I12" s="64"/>
      <c r="J12" s="110" t="s">
        <v>494</v>
      </c>
      <c r="K12" s="63" t="s">
        <v>397</v>
      </c>
      <c r="L12" s="85">
        <v>44501</v>
      </c>
      <c r="M12" s="85">
        <v>46021</v>
      </c>
    </row>
    <row r="13" spans="1:13" ht="128" x14ac:dyDescent="0.2">
      <c r="A13" s="65" t="s">
        <v>112</v>
      </c>
      <c r="B13" s="65" t="s">
        <v>468</v>
      </c>
      <c r="C13" s="63" t="s">
        <v>0</v>
      </c>
      <c r="D13" s="69">
        <v>5016129.0374999996</v>
      </c>
      <c r="E13" s="73">
        <f>Table819[[#This Row],[Total US$ ]]*$E$2</f>
        <v>88334032.350374997</v>
      </c>
      <c r="F13" s="65" t="s">
        <v>387</v>
      </c>
      <c r="G13" s="64" t="s">
        <v>1</v>
      </c>
      <c r="H13" s="76" t="s">
        <v>593</v>
      </c>
      <c r="I13" s="76" t="s">
        <v>594</v>
      </c>
      <c r="J13" s="110" t="s">
        <v>494</v>
      </c>
      <c r="K13" s="63" t="s">
        <v>299</v>
      </c>
      <c r="L13" s="85">
        <v>44501</v>
      </c>
      <c r="M13" s="85">
        <v>46387</v>
      </c>
    </row>
    <row r="14" spans="1:13" ht="64" x14ac:dyDescent="0.2">
      <c r="A14" s="65" t="s">
        <v>118</v>
      </c>
      <c r="B14" s="65" t="s">
        <v>468</v>
      </c>
      <c r="C14" s="63" t="s">
        <v>0</v>
      </c>
      <c r="D14" s="69">
        <v>1391129.0375000001</v>
      </c>
      <c r="E14" s="73">
        <f>Table819[[#This Row],[Total US$ ]]*$E$2</f>
        <v>24497782.350375</v>
      </c>
      <c r="F14" s="65" t="s">
        <v>387</v>
      </c>
      <c r="G14" s="64" t="s">
        <v>592</v>
      </c>
      <c r="H14" s="76" t="s">
        <v>593</v>
      </c>
      <c r="I14" s="76" t="s">
        <v>594</v>
      </c>
      <c r="J14" s="110" t="s">
        <v>494</v>
      </c>
      <c r="K14" s="63" t="s">
        <v>300</v>
      </c>
      <c r="L14" s="85">
        <v>44562</v>
      </c>
      <c r="M14" s="85">
        <v>46387</v>
      </c>
    </row>
    <row r="15" spans="1:13" ht="96" x14ac:dyDescent="0.2">
      <c r="A15" s="65" t="s">
        <v>119</v>
      </c>
      <c r="B15" s="65" t="s">
        <v>468</v>
      </c>
      <c r="C15" s="63" t="s">
        <v>4</v>
      </c>
      <c r="D15" s="69">
        <v>117708.75</v>
      </c>
      <c r="E15" s="73">
        <f>Table819[[#This Row],[Total US$ ]]*$E$2</f>
        <v>2072851.0874999999</v>
      </c>
      <c r="F15" s="65" t="s">
        <v>387</v>
      </c>
      <c r="G15" s="76" t="s">
        <v>516</v>
      </c>
      <c r="H15" s="76" t="s">
        <v>595</v>
      </c>
      <c r="I15" s="76"/>
      <c r="J15" s="110" t="s">
        <v>495</v>
      </c>
      <c r="K15" s="63" t="s">
        <v>633</v>
      </c>
      <c r="L15" s="85">
        <v>44562</v>
      </c>
      <c r="M15" s="85">
        <v>45260</v>
      </c>
    </row>
    <row r="16" spans="1:13" ht="112" x14ac:dyDescent="0.2">
      <c r="A16" s="65" t="s">
        <v>120</v>
      </c>
      <c r="B16" s="65" t="s">
        <v>468</v>
      </c>
      <c r="C16" s="63" t="s">
        <v>12</v>
      </c>
      <c r="D16" s="69">
        <v>165479.45000000001</v>
      </c>
      <c r="E16" s="73">
        <f>Table819[[#This Row],[Total US$ ]]*$E$2</f>
        <v>2914093.1145000001</v>
      </c>
      <c r="F16" s="65" t="s">
        <v>387</v>
      </c>
      <c r="G16" s="76" t="s">
        <v>518</v>
      </c>
      <c r="H16" s="76" t="s">
        <v>596</v>
      </c>
      <c r="I16" s="76"/>
      <c r="J16" s="84" t="s">
        <v>495</v>
      </c>
      <c r="K16" s="63" t="s">
        <v>634</v>
      </c>
      <c r="L16" s="85">
        <v>44927</v>
      </c>
      <c r="M16" s="85">
        <v>45260</v>
      </c>
    </row>
    <row r="17" spans="1:13" ht="256" x14ac:dyDescent="0.2">
      <c r="A17" s="65" t="s">
        <v>121</v>
      </c>
      <c r="B17" s="65" t="s">
        <v>73</v>
      </c>
      <c r="C17" s="63" t="s">
        <v>9</v>
      </c>
      <c r="D17" s="69">
        <v>432670</v>
      </c>
      <c r="E17" s="73">
        <f>Table819[[#This Row],[Total US$ ]]*$E$2</f>
        <v>7619318.7000000002</v>
      </c>
      <c r="F17" s="65" t="s">
        <v>387</v>
      </c>
      <c r="G17" s="64" t="s">
        <v>517</v>
      </c>
      <c r="H17" s="64" t="s">
        <v>597</v>
      </c>
      <c r="I17" s="64"/>
      <c r="J17" s="84" t="s">
        <v>495</v>
      </c>
      <c r="K17" s="63" t="s">
        <v>301</v>
      </c>
      <c r="L17" s="85">
        <v>44501</v>
      </c>
      <c r="M17" s="85">
        <v>45016</v>
      </c>
    </row>
    <row r="18" spans="1:13" ht="112" x14ac:dyDescent="0.2">
      <c r="A18" s="65" t="s">
        <v>122</v>
      </c>
      <c r="B18" s="65" t="s">
        <v>73</v>
      </c>
      <c r="C18" s="63" t="s">
        <v>9</v>
      </c>
      <c r="D18" s="69">
        <v>645311.25</v>
      </c>
      <c r="E18" s="73">
        <f>Table819[[#This Row],[Total US$ ]]*$E$2</f>
        <v>11363931.112499999</v>
      </c>
      <c r="F18" s="65" t="s">
        <v>387</v>
      </c>
      <c r="G18" s="76" t="s">
        <v>34</v>
      </c>
      <c r="H18" s="76" t="s">
        <v>598</v>
      </c>
      <c r="I18" s="76" t="s">
        <v>599</v>
      </c>
      <c r="J18" s="84" t="s">
        <v>495</v>
      </c>
      <c r="K18" s="63" t="s">
        <v>635</v>
      </c>
      <c r="L18" s="85">
        <v>44501</v>
      </c>
      <c r="M18" s="85">
        <v>45016</v>
      </c>
    </row>
    <row r="19" spans="1:13" ht="112" x14ac:dyDescent="0.2">
      <c r="A19" s="65" t="s">
        <v>123</v>
      </c>
      <c r="B19" s="65" t="s">
        <v>73</v>
      </c>
      <c r="C19" s="63" t="s">
        <v>9</v>
      </c>
      <c r="D19" s="69">
        <v>1154023.75</v>
      </c>
      <c r="E19" s="73">
        <f>Table819[[#This Row],[Total US$ ]]*$E$2</f>
        <v>20322358.237500001</v>
      </c>
      <c r="F19" s="65" t="s">
        <v>387</v>
      </c>
      <c r="G19" s="76" t="s">
        <v>519</v>
      </c>
      <c r="H19" s="76" t="s">
        <v>600</v>
      </c>
      <c r="I19" s="76" t="s">
        <v>600</v>
      </c>
      <c r="J19" s="84" t="s">
        <v>494</v>
      </c>
      <c r="K19" s="63" t="s">
        <v>302</v>
      </c>
      <c r="L19" s="85">
        <v>44501</v>
      </c>
      <c r="M19" s="85">
        <v>45657</v>
      </c>
    </row>
    <row r="20" spans="1:13" ht="224" x14ac:dyDescent="0.2">
      <c r="A20" s="65" t="s">
        <v>124</v>
      </c>
      <c r="B20" s="65" t="s">
        <v>73</v>
      </c>
      <c r="C20" s="63" t="s">
        <v>11</v>
      </c>
      <c r="D20" s="69">
        <v>1637597.5</v>
      </c>
      <c r="E20" s="73">
        <f>Table819[[#This Row],[Total US$ ]]*$E$2</f>
        <v>28838091.974999998</v>
      </c>
      <c r="F20" s="65" t="s">
        <v>387</v>
      </c>
      <c r="G20" s="64" t="s">
        <v>520</v>
      </c>
      <c r="H20" s="64"/>
      <c r="I20" s="64"/>
      <c r="J20" s="84" t="s">
        <v>494</v>
      </c>
      <c r="K20" s="63" t="s">
        <v>303</v>
      </c>
      <c r="L20" s="85">
        <v>44228</v>
      </c>
      <c r="M20" s="85">
        <v>45747</v>
      </c>
    </row>
    <row r="21" spans="1:13" ht="112" x14ac:dyDescent="0.2">
      <c r="A21" s="65" t="s">
        <v>125</v>
      </c>
      <c r="B21" s="65" t="s">
        <v>73</v>
      </c>
      <c r="C21" s="63" t="s">
        <v>9</v>
      </c>
      <c r="D21" s="69">
        <v>317027.5</v>
      </c>
      <c r="E21" s="73">
        <f>Table819[[#This Row],[Total US$ ]]*$E$2</f>
        <v>5582854.2749999994</v>
      </c>
      <c r="F21" s="65" t="s">
        <v>387</v>
      </c>
      <c r="G21" s="76" t="s">
        <v>521</v>
      </c>
      <c r="H21" s="76" t="s">
        <v>601</v>
      </c>
      <c r="I21" s="76" t="s">
        <v>602</v>
      </c>
      <c r="J21" s="84" t="s">
        <v>495</v>
      </c>
      <c r="K21" s="63" t="s">
        <v>304</v>
      </c>
      <c r="L21" s="85">
        <v>44228</v>
      </c>
      <c r="M21" s="85">
        <v>44895</v>
      </c>
    </row>
    <row r="22" spans="1:13" ht="112" x14ac:dyDescent="0.2">
      <c r="A22" s="65" t="s">
        <v>126</v>
      </c>
      <c r="B22" s="65" t="s">
        <v>468</v>
      </c>
      <c r="C22" s="63" t="s">
        <v>422</v>
      </c>
      <c r="D22" s="69">
        <v>331250</v>
      </c>
      <c r="E22" s="73">
        <f>Table819[[#This Row],[Total US$ ]]*$E$2</f>
        <v>5833312.5</v>
      </c>
      <c r="F22" s="65" t="s">
        <v>387</v>
      </c>
      <c r="G22" s="76" t="s">
        <v>522</v>
      </c>
      <c r="H22" s="76"/>
      <c r="I22" s="76"/>
      <c r="J22" s="110" t="s">
        <v>495</v>
      </c>
      <c r="K22" s="63" t="s">
        <v>305</v>
      </c>
      <c r="L22" s="85">
        <v>44562</v>
      </c>
      <c r="M22" s="85">
        <v>45351</v>
      </c>
    </row>
    <row r="23" spans="1:13" ht="176" x14ac:dyDescent="0.2">
      <c r="A23" s="65" t="s">
        <v>127</v>
      </c>
      <c r="B23" s="65" t="s">
        <v>468</v>
      </c>
      <c r="C23" s="63" t="s">
        <v>9</v>
      </c>
      <c r="D23" s="69">
        <v>22533.75</v>
      </c>
      <c r="E23" s="73">
        <f>Table819[[#This Row],[Total US$ ]]*$E$2</f>
        <v>396819.33749999997</v>
      </c>
      <c r="F23" s="65" t="s">
        <v>387</v>
      </c>
      <c r="G23" s="76" t="s">
        <v>523</v>
      </c>
      <c r="H23" s="76" t="s">
        <v>603</v>
      </c>
      <c r="I23" s="76"/>
      <c r="J23" s="84" t="s">
        <v>495</v>
      </c>
      <c r="K23" s="63" t="s">
        <v>636</v>
      </c>
      <c r="L23" s="85">
        <v>44958</v>
      </c>
      <c r="M23" s="85">
        <v>45230</v>
      </c>
    </row>
    <row r="24" spans="1:13" ht="144" x14ac:dyDescent="0.2">
      <c r="A24" s="65" t="s">
        <v>128</v>
      </c>
      <c r="B24" s="65" t="s">
        <v>56</v>
      </c>
      <c r="C24" s="63" t="s">
        <v>21</v>
      </c>
      <c r="D24" s="69">
        <v>153880</v>
      </c>
      <c r="E24" s="73">
        <f>Table819[[#This Row],[Total US$ ]]*$E$2</f>
        <v>2709826.8</v>
      </c>
      <c r="F24" s="65" t="s">
        <v>387</v>
      </c>
      <c r="G24" s="64" t="s">
        <v>524</v>
      </c>
      <c r="H24" s="64" t="s">
        <v>604</v>
      </c>
      <c r="I24" s="64"/>
      <c r="J24" s="84" t="s">
        <v>495</v>
      </c>
      <c r="K24" s="63" t="s">
        <v>306</v>
      </c>
      <c r="L24" s="86">
        <v>44501</v>
      </c>
      <c r="M24" s="86">
        <v>44712</v>
      </c>
    </row>
    <row r="25" spans="1:13" ht="176" x14ac:dyDescent="0.2">
      <c r="A25" s="65" t="s">
        <v>129</v>
      </c>
      <c r="B25" s="65" t="s">
        <v>56</v>
      </c>
      <c r="C25" s="63" t="s">
        <v>22</v>
      </c>
      <c r="D25" s="69">
        <v>187783.75</v>
      </c>
      <c r="E25" s="73">
        <f>Table819[[#This Row],[Total US$ ]]*$E$2</f>
        <v>3306871.8374999999</v>
      </c>
      <c r="F25" s="65" t="s">
        <v>387</v>
      </c>
      <c r="G25" s="76" t="s">
        <v>525</v>
      </c>
      <c r="H25" s="76" t="s">
        <v>605</v>
      </c>
      <c r="I25" s="76"/>
      <c r="J25" s="84" t="s">
        <v>495</v>
      </c>
      <c r="K25" s="63" t="s">
        <v>307</v>
      </c>
      <c r="L25" s="85">
        <v>44501</v>
      </c>
      <c r="M25" s="85">
        <v>44804</v>
      </c>
    </row>
    <row r="26" spans="1:13" ht="128" x14ac:dyDescent="0.2">
      <c r="A26" s="65" t="s">
        <v>130</v>
      </c>
      <c r="B26" s="65" t="s">
        <v>56</v>
      </c>
      <c r="C26" s="63" t="s">
        <v>22</v>
      </c>
      <c r="D26" s="69">
        <v>378561.25</v>
      </c>
      <c r="E26" s="73">
        <f>Table819[[#This Row],[Total US$ ]]*$E$2</f>
        <v>6666463.6124999998</v>
      </c>
      <c r="F26" s="65" t="s">
        <v>387</v>
      </c>
      <c r="G26" s="76" t="s">
        <v>526</v>
      </c>
      <c r="H26" s="76" t="s">
        <v>606</v>
      </c>
      <c r="I26" s="76"/>
      <c r="J26" s="84" t="s">
        <v>494</v>
      </c>
      <c r="K26" s="63" t="s">
        <v>637</v>
      </c>
      <c r="L26" s="85">
        <v>44866</v>
      </c>
      <c r="M26" s="85">
        <v>45657</v>
      </c>
    </row>
    <row r="27" spans="1:13" ht="80" x14ac:dyDescent="0.2">
      <c r="A27" s="65" t="s">
        <v>131</v>
      </c>
      <c r="B27" s="65" t="s">
        <v>56</v>
      </c>
      <c r="C27" s="63" t="s">
        <v>23</v>
      </c>
      <c r="D27" s="69">
        <v>6412500</v>
      </c>
      <c r="E27" s="73">
        <f>Table819[[#This Row],[Total US$ ]]*$E$2</f>
        <v>112924125</v>
      </c>
      <c r="F27" s="65" t="s">
        <v>387</v>
      </c>
      <c r="G27" s="76" t="s">
        <v>527</v>
      </c>
      <c r="H27" s="76" t="s">
        <v>607</v>
      </c>
      <c r="I27" s="76" t="s">
        <v>607</v>
      </c>
      <c r="J27" s="84" t="s">
        <v>494</v>
      </c>
      <c r="K27" s="63" t="s">
        <v>308</v>
      </c>
      <c r="L27" s="85">
        <v>44866</v>
      </c>
      <c r="M27" s="85">
        <v>46022</v>
      </c>
    </row>
    <row r="28" spans="1:13" ht="144" x14ac:dyDescent="0.2">
      <c r="A28" s="65" t="s">
        <v>132</v>
      </c>
      <c r="B28" s="65" t="s">
        <v>56</v>
      </c>
      <c r="C28" s="63" t="s">
        <v>23</v>
      </c>
      <c r="D28" s="69">
        <v>514537.5</v>
      </c>
      <c r="E28" s="73">
        <f>Table819[[#This Row],[Total US$ ]]*$E$2</f>
        <v>9061005.375</v>
      </c>
      <c r="F28" s="65" t="s">
        <v>387</v>
      </c>
      <c r="G28" s="64" t="s">
        <v>520</v>
      </c>
      <c r="H28" s="64" t="s">
        <v>595</v>
      </c>
      <c r="I28" s="64"/>
      <c r="J28" s="84" t="s">
        <v>495</v>
      </c>
      <c r="K28" s="63" t="s">
        <v>638</v>
      </c>
      <c r="L28" s="85">
        <v>44562</v>
      </c>
      <c r="M28" s="85">
        <v>45107</v>
      </c>
    </row>
    <row r="29" spans="1:13" ht="96" x14ac:dyDescent="0.2">
      <c r="A29" s="65" t="s">
        <v>133</v>
      </c>
      <c r="B29" s="65" t="s">
        <v>71</v>
      </c>
      <c r="C29" s="63" t="s">
        <v>22</v>
      </c>
      <c r="D29" s="69">
        <v>377552.5</v>
      </c>
      <c r="E29" s="73">
        <f>Table819[[#This Row],[Total US$ ]]*$E$2</f>
        <v>6648699.5249999994</v>
      </c>
      <c r="F29" s="65" t="s">
        <v>387</v>
      </c>
      <c r="G29" s="76" t="s">
        <v>528</v>
      </c>
      <c r="H29" s="64" t="s">
        <v>608</v>
      </c>
      <c r="I29" s="76"/>
      <c r="J29" s="84" t="s">
        <v>495</v>
      </c>
      <c r="K29" s="63" t="s">
        <v>639</v>
      </c>
      <c r="L29" s="85">
        <v>44501</v>
      </c>
      <c r="M29" s="85">
        <v>45016</v>
      </c>
    </row>
    <row r="30" spans="1:13" ht="96" x14ac:dyDescent="0.2">
      <c r="A30" s="65" t="s">
        <v>134</v>
      </c>
      <c r="B30" s="65" t="s">
        <v>71</v>
      </c>
      <c r="C30" s="63" t="s">
        <v>22</v>
      </c>
      <c r="D30" s="69">
        <v>185216.25</v>
      </c>
      <c r="E30" s="73">
        <f>Table819[[#This Row],[Total US$ ]]*$E$2</f>
        <v>3261658.1625000001</v>
      </c>
      <c r="F30" s="65" t="s">
        <v>387</v>
      </c>
      <c r="G30" s="76" t="s">
        <v>526</v>
      </c>
      <c r="H30" s="76" t="s">
        <v>606</v>
      </c>
      <c r="I30" s="76"/>
      <c r="J30" s="84" t="s">
        <v>495</v>
      </c>
      <c r="K30" s="63" t="s">
        <v>640</v>
      </c>
      <c r="L30" s="85">
        <v>44501</v>
      </c>
      <c r="M30" s="85">
        <v>44926</v>
      </c>
    </row>
    <row r="31" spans="1:13" ht="80" x14ac:dyDescent="0.2">
      <c r="A31" s="65" t="s">
        <v>135</v>
      </c>
      <c r="B31" s="65" t="s">
        <v>70</v>
      </c>
      <c r="C31" s="63" t="s">
        <v>27</v>
      </c>
      <c r="D31" s="69">
        <v>2021655.9788453919</v>
      </c>
      <c r="E31" s="73">
        <f>Table819[[#This Row],[Total US$ ]]*$E$2</f>
        <v>35601361.787467353</v>
      </c>
      <c r="F31" s="65" t="s">
        <v>387</v>
      </c>
      <c r="G31" s="76" t="s">
        <v>529</v>
      </c>
      <c r="H31" s="76"/>
      <c r="I31" s="76"/>
      <c r="J31" s="110" t="s">
        <v>495</v>
      </c>
      <c r="K31" s="63" t="s">
        <v>551</v>
      </c>
      <c r="L31" s="85">
        <v>44501</v>
      </c>
      <c r="M31" s="85">
        <v>45016</v>
      </c>
    </row>
    <row r="32" spans="1:13" ht="144" x14ac:dyDescent="0.2">
      <c r="A32" s="65" t="s">
        <v>136</v>
      </c>
      <c r="B32" s="65" t="s">
        <v>72</v>
      </c>
      <c r="C32" s="63" t="s">
        <v>31</v>
      </c>
      <c r="D32" s="69">
        <v>307736.25</v>
      </c>
      <c r="E32" s="73">
        <f>Table819[[#This Row],[Total US$ ]]*$E$2</f>
        <v>5419235.3624999998</v>
      </c>
      <c r="F32" s="65" t="s">
        <v>387</v>
      </c>
      <c r="G32" s="64" t="s">
        <v>530</v>
      </c>
      <c r="H32" s="76" t="s">
        <v>609</v>
      </c>
      <c r="I32" s="64"/>
      <c r="J32" s="84" t="s">
        <v>495</v>
      </c>
      <c r="K32" s="63" t="s">
        <v>641</v>
      </c>
      <c r="L32" s="85">
        <v>44501</v>
      </c>
      <c r="M32" s="85">
        <v>44681</v>
      </c>
    </row>
    <row r="33" spans="1:13" ht="64" x14ac:dyDescent="0.2">
      <c r="A33" s="65" t="s">
        <v>137</v>
      </c>
      <c r="B33" s="65" t="s">
        <v>72</v>
      </c>
      <c r="C33" s="63" t="s">
        <v>32</v>
      </c>
      <c r="D33" s="69">
        <v>298632.5</v>
      </c>
      <c r="E33" s="73">
        <f>Table819[[#This Row],[Total US$ ]]*$E$2</f>
        <v>5258918.3250000002</v>
      </c>
      <c r="F33" s="65" t="s">
        <v>387</v>
      </c>
      <c r="G33" s="76" t="s">
        <v>531</v>
      </c>
      <c r="H33" s="76"/>
      <c r="I33" s="76"/>
      <c r="J33" s="84" t="s">
        <v>495</v>
      </c>
      <c r="K33" s="63" t="s">
        <v>309</v>
      </c>
      <c r="L33" s="86">
        <v>44866</v>
      </c>
      <c r="M33" s="86">
        <v>45107</v>
      </c>
    </row>
    <row r="34" spans="1:13" ht="96" x14ac:dyDescent="0.2">
      <c r="A34" s="65" t="s">
        <v>138</v>
      </c>
      <c r="B34" s="65" t="s">
        <v>72</v>
      </c>
      <c r="C34" s="63" t="s">
        <v>32</v>
      </c>
      <c r="D34" s="69">
        <v>95768.75</v>
      </c>
      <c r="E34" s="73">
        <f>Table819[[#This Row],[Total US$ ]]*$E$2</f>
        <v>1686487.6875</v>
      </c>
      <c r="F34" s="65" t="s">
        <v>387</v>
      </c>
      <c r="G34" s="76" t="s">
        <v>610</v>
      </c>
      <c r="H34" s="64"/>
      <c r="I34" s="64"/>
      <c r="J34" s="84" t="s">
        <v>495</v>
      </c>
      <c r="K34" s="63" t="s">
        <v>310</v>
      </c>
      <c r="L34" s="86">
        <v>44866</v>
      </c>
      <c r="M34" s="86">
        <v>45107</v>
      </c>
    </row>
    <row r="35" spans="1:13" ht="128" x14ac:dyDescent="0.2">
      <c r="A35" s="65" t="s">
        <v>139</v>
      </c>
      <c r="B35" s="65" t="s">
        <v>468</v>
      </c>
      <c r="C35" s="63" t="s">
        <v>611</v>
      </c>
      <c r="D35" s="69">
        <v>249013.75</v>
      </c>
      <c r="E35" s="73">
        <f>Table819[[#This Row],[Total US$ ]]*$E$2</f>
        <v>4385132.1375000002</v>
      </c>
      <c r="F35" s="65" t="s">
        <v>387</v>
      </c>
      <c r="G35" s="76" t="s">
        <v>532</v>
      </c>
      <c r="H35" s="76" t="s">
        <v>593</v>
      </c>
      <c r="I35" s="76"/>
      <c r="J35" s="84" t="s">
        <v>495</v>
      </c>
      <c r="K35" s="63" t="s">
        <v>804</v>
      </c>
      <c r="L35" s="85">
        <v>44835</v>
      </c>
      <c r="M35" s="85">
        <v>45382</v>
      </c>
    </row>
    <row r="36" spans="1:13" ht="96" x14ac:dyDescent="0.2">
      <c r="A36" s="65" t="s">
        <v>140</v>
      </c>
      <c r="B36" s="65" t="s">
        <v>72</v>
      </c>
      <c r="C36" s="63" t="s">
        <v>39</v>
      </c>
      <c r="D36" s="69">
        <v>30893.502628730388</v>
      </c>
      <c r="E36" s="73">
        <f>Table819[[#This Row],[Total US$ ]]*$E$2</f>
        <v>544034.58129194216</v>
      </c>
      <c r="F36" s="65" t="s">
        <v>387</v>
      </c>
      <c r="G36" s="76" t="s">
        <v>533</v>
      </c>
      <c r="H36" s="76" t="s">
        <v>593</v>
      </c>
      <c r="I36" s="76"/>
      <c r="J36" s="84" t="s">
        <v>495</v>
      </c>
      <c r="K36" s="63" t="s">
        <v>642</v>
      </c>
      <c r="L36" s="86">
        <v>44501</v>
      </c>
      <c r="M36" s="85">
        <v>44582</v>
      </c>
    </row>
    <row r="37" spans="1:13" ht="80" x14ac:dyDescent="0.2">
      <c r="A37" s="65" t="s">
        <v>141</v>
      </c>
      <c r="B37" s="65" t="s">
        <v>72</v>
      </c>
      <c r="C37" s="63" t="s">
        <v>40</v>
      </c>
      <c r="D37" s="69">
        <v>48981.25</v>
      </c>
      <c r="E37" s="73">
        <f>Table819[[#This Row],[Total US$ ]]*$E$2</f>
        <v>862559.8125</v>
      </c>
      <c r="F37" s="65" t="s">
        <v>387</v>
      </c>
      <c r="G37" s="64" t="s">
        <v>534</v>
      </c>
      <c r="H37" s="7" t="s">
        <v>612</v>
      </c>
      <c r="I37" s="64"/>
      <c r="J37" s="84" t="s">
        <v>495</v>
      </c>
      <c r="K37" s="63" t="s">
        <v>643</v>
      </c>
      <c r="L37" s="85">
        <v>44501</v>
      </c>
      <c r="M37" s="85">
        <v>45199</v>
      </c>
    </row>
    <row r="38" spans="1:13" ht="80" x14ac:dyDescent="0.2">
      <c r="A38" s="65" t="s">
        <v>142</v>
      </c>
      <c r="B38" s="65" t="s">
        <v>72</v>
      </c>
      <c r="C38" s="63" t="s">
        <v>41</v>
      </c>
      <c r="D38" s="69">
        <v>230622.5</v>
      </c>
      <c r="E38" s="73">
        <f>Table819[[#This Row],[Total US$ ]]*$E$2</f>
        <v>4061262.2250000001</v>
      </c>
      <c r="F38" s="65" t="s">
        <v>387</v>
      </c>
      <c r="G38" s="64" t="s">
        <v>535</v>
      </c>
      <c r="H38" s="7" t="s">
        <v>612</v>
      </c>
      <c r="I38" s="64"/>
      <c r="J38" s="84" t="s">
        <v>495</v>
      </c>
      <c r="K38" s="84" t="s">
        <v>644</v>
      </c>
      <c r="L38" s="86">
        <v>44501</v>
      </c>
      <c r="M38" s="85">
        <v>45015</v>
      </c>
    </row>
    <row r="39" spans="1:13" ht="48" x14ac:dyDescent="0.2">
      <c r="A39" s="65" t="s">
        <v>143</v>
      </c>
      <c r="B39" s="65" t="s">
        <v>72</v>
      </c>
      <c r="C39" s="63" t="s">
        <v>42</v>
      </c>
      <c r="D39" s="69">
        <v>87500</v>
      </c>
      <c r="E39" s="73">
        <f>Table819[[#This Row],[Total US$ ]]*$E$2</f>
        <v>1540875</v>
      </c>
      <c r="F39" s="65" t="s">
        <v>387</v>
      </c>
      <c r="G39" s="76" t="s">
        <v>536</v>
      </c>
      <c r="H39" s="76"/>
      <c r="I39" s="76"/>
      <c r="J39" s="110" t="s">
        <v>495</v>
      </c>
      <c r="K39" s="63" t="s">
        <v>311</v>
      </c>
      <c r="L39" s="85">
        <v>44927</v>
      </c>
      <c r="M39" s="85">
        <v>45291</v>
      </c>
    </row>
    <row r="40" spans="1:13" ht="128" x14ac:dyDescent="0.2">
      <c r="A40" s="65" t="s">
        <v>144</v>
      </c>
      <c r="B40" s="65" t="s">
        <v>72</v>
      </c>
      <c r="C40" s="63" t="s">
        <v>43</v>
      </c>
      <c r="D40" s="69">
        <v>1189304.4350000001</v>
      </c>
      <c r="E40" s="73">
        <f>Table819[[#This Row],[Total US$ ]]*$E$2</f>
        <v>20943651.10035</v>
      </c>
      <c r="F40" s="65" t="s">
        <v>387</v>
      </c>
      <c r="G40" s="76" t="s">
        <v>537</v>
      </c>
      <c r="H40" s="76"/>
      <c r="I40" s="76"/>
      <c r="J40" s="110" t="s">
        <v>494</v>
      </c>
      <c r="K40" s="63" t="s">
        <v>428</v>
      </c>
      <c r="L40" s="85">
        <v>44501</v>
      </c>
      <c r="M40" s="85">
        <v>46387</v>
      </c>
    </row>
    <row r="41" spans="1:13" ht="64" x14ac:dyDescent="0.2">
      <c r="A41" s="65" t="s">
        <v>145</v>
      </c>
      <c r="B41" s="65" t="s">
        <v>72</v>
      </c>
      <c r="C41" s="63" t="s">
        <v>46</v>
      </c>
      <c r="D41" s="69">
        <v>874731.25</v>
      </c>
      <c r="E41" s="73">
        <f>Table819[[#This Row],[Total US$ ]]*$E$2</f>
        <v>15404017.3125</v>
      </c>
      <c r="F41" s="65" t="s">
        <v>387</v>
      </c>
      <c r="G41" s="64" t="s">
        <v>538</v>
      </c>
      <c r="H41" s="64" t="s">
        <v>613</v>
      </c>
      <c r="I41" s="64"/>
      <c r="J41" s="84" t="s">
        <v>494</v>
      </c>
      <c r="K41" s="63" t="s">
        <v>312</v>
      </c>
      <c r="L41" s="85">
        <v>45139</v>
      </c>
      <c r="M41" s="85">
        <v>46111</v>
      </c>
    </row>
    <row r="42" spans="1:13" ht="48" x14ac:dyDescent="0.2">
      <c r="A42" s="65" t="s">
        <v>146</v>
      </c>
      <c r="B42" s="65" t="s">
        <v>73</v>
      </c>
      <c r="C42" s="63" t="s">
        <v>9</v>
      </c>
      <c r="D42" s="69">
        <v>123494.375</v>
      </c>
      <c r="E42" s="73">
        <f>Table819[[#This Row],[Total US$ ]]*$E$2</f>
        <v>2174735.9437500001</v>
      </c>
      <c r="F42" s="65" t="s">
        <v>387</v>
      </c>
      <c r="G42" s="76" t="s">
        <v>539</v>
      </c>
      <c r="H42" s="76"/>
      <c r="I42" s="76"/>
      <c r="J42" s="110" t="s">
        <v>494</v>
      </c>
      <c r="K42" s="63" t="s">
        <v>313</v>
      </c>
      <c r="L42" s="85">
        <v>45170</v>
      </c>
      <c r="M42" s="85">
        <v>46603</v>
      </c>
    </row>
    <row r="43" spans="1:13" s="30" customFormat="1" ht="80" x14ac:dyDescent="0.2">
      <c r="A43" s="65" t="s">
        <v>515</v>
      </c>
      <c r="B43" s="65" t="s">
        <v>56</v>
      </c>
      <c r="C43" s="63" t="s">
        <v>546</v>
      </c>
      <c r="D43" s="69">
        <v>564541.25</v>
      </c>
      <c r="E43" s="73">
        <f>Table819[[#This Row],[Total US$ ]]*$E$2</f>
        <v>9941571.4124999996</v>
      </c>
      <c r="F43" s="65" t="s">
        <v>387</v>
      </c>
      <c r="G43" s="64" t="s">
        <v>547</v>
      </c>
      <c r="H43" s="76" t="s">
        <v>614</v>
      </c>
      <c r="I43" s="76" t="s">
        <v>615</v>
      </c>
      <c r="J43" s="114" t="s">
        <v>494</v>
      </c>
      <c r="K43" s="63" t="s">
        <v>645</v>
      </c>
      <c r="L43" s="86">
        <v>45352</v>
      </c>
      <c r="M43" s="86">
        <v>45838</v>
      </c>
    </row>
    <row r="44" spans="1:13" ht="96" x14ac:dyDescent="0.2">
      <c r="A44" s="65" t="s">
        <v>417</v>
      </c>
      <c r="B44" s="65" t="s">
        <v>56</v>
      </c>
      <c r="C44" s="63" t="s">
        <v>25</v>
      </c>
      <c r="D44" s="69">
        <v>579407.5</v>
      </c>
      <c r="E44" s="73">
        <f>Table819[[#This Row],[Total US$ ]]*$E$2</f>
        <v>10203366.074999999</v>
      </c>
      <c r="F44" s="65" t="s">
        <v>387</v>
      </c>
      <c r="G44" s="76" t="s">
        <v>526</v>
      </c>
      <c r="H44" s="76" t="s">
        <v>616</v>
      </c>
      <c r="I44" s="76"/>
      <c r="J44" s="84" t="s">
        <v>494</v>
      </c>
      <c r="K44" s="63" t="s">
        <v>646</v>
      </c>
      <c r="L44" s="85">
        <v>45323</v>
      </c>
      <c r="M44" s="85">
        <v>45930</v>
      </c>
    </row>
    <row r="45" spans="1:13" ht="96" x14ac:dyDescent="0.2">
      <c r="A45" s="65" t="s">
        <v>418</v>
      </c>
      <c r="B45" s="65" t="s">
        <v>70</v>
      </c>
      <c r="C45" s="63" t="s">
        <v>28</v>
      </c>
      <c r="D45" s="69">
        <v>1245680</v>
      </c>
      <c r="E45" s="73">
        <f>Table819[[#This Row],[Total US$ ]]*$E$2</f>
        <v>21936424.800000001</v>
      </c>
      <c r="F45" s="65" t="s">
        <v>387</v>
      </c>
      <c r="G45" s="76" t="s">
        <v>540</v>
      </c>
      <c r="H45" s="76" t="s">
        <v>617</v>
      </c>
      <c r="I45" s="76" t="s">
        <v>618</v>
      </c>
      <c r="J45" s="84" t="s">
        <v>494</v>
      </c>
      <c r="K45" s="63" t="s">
        <v>647</v>
      </c>
      <c r="L45" s="85">
        <v>45323</v>
      </c>
      <c r="M45" s="85">
        <v>46003</v>
      </c>
    </row>
    <row r="46" spans="1:13" ht="128" x14ac:dyDescent="0.2">
      <c r="A46" s="65" t="s">
        <v>147</v>
      </c>
      <c r="B46" s="65" t="s">
        <v>70</v>
      </c>
      <c r="C46" s="63" t="s">
        <v>102</v>
      </c>
      <c r="D46" s="69">
        <v>68837.5625</v>
      </c>
      <c r="E46" s="73">
        <f>Table819[[#This Row],[Total US$ ]]*$E$2</f>
        <v>1212229.475625</v>
      </c>
      <c r="F46" s="65" t="s">
        <v>387</v>
      </c>
      <c r="G46" s="76" t="s">
        <v>541</v>
      </c>
      <c r="H46" s="76" t="s">
        <v>612</v>
      </c>
      <c r="I46" s="76"/>
      <c r="J46" s="84" t="s">
        <v>495</v>
      </c>
      <c r="K46" s="63" t="s">
        <v>648</v>
      </c>
      <c r="L46" s="85">
        <v>45170</v>
      </c>
      <c r="M46" s="85">
        <v>45260</v>
      </c>
    </row>
    <row r="47" spans="1:13" ht="80" x14ac:dyDescent="0.2">
      <c r="A47" s="65" t="s">
        <v>148</v>
      </c>
      <c r="B47" s="65" t="s">
        <v>73</v>
      </c>
      <c r="C47" s="63" t="s">
        <v>103</v>
      </c>
      <c r="D47" s="69">
        <v>36801.25</v>
      </c>
      <c r="E47" s="73">
        <f>Table819[[#This Row],[Total US$ ]]*$E$2</f>
        <v>648070.01249999995</v>
      </c>
      <c r="F47" s="65" t="s">
        <v>387</v>
      </c>
      <c r="G47" s="76" t="s">
        <v>619</v>
      </c>
      <c r="H47" s="76"/>
      <c r="I47" s="76" t="s">
        <v>620</v>
      </c>
      <c r="J47" s="84" t="s">
        <v>494</v>
      </c>
      <c r="K47" s="63" t="s">
        <v>314</v>
      </c>
      <c r="L47" s="85">
        <v>45170</v>
      </c>
      <c r="M47" s="85">
        <v>45717</v>
      </c>
    </row>
    <row r="48" spans="1:13" ht="80" x14ac:dyDescent="0.2">
      <c r="A48" s="65" t="s">
        <v>385</v>
      </c>
      <c r="B48" s="65" t="s">
        <v>73</v>
      </c>
      <c r="C48" s="63" t="s">
        <v>383</v>
      </c>
      <c r="D48" s="69">
        <v>1625000</v>
      </c>
      <c r="E48" s="73">
        <f>Table819[[#This Row],[Total US$ ]]*$E$2</f>
        <v>28616250</v>
      </c>
      <c r="F48" s="65" t="s">
        <v>387</v>
      </c>
      <c r="G48" s="76" t="s">
        <v>384</v>
      </c>
      <c r="H48" s="76"/>
      <c r="I48" s="76" t="s">
        <v>621</v>
      </c>
      <c r="J48" s="84" t="s">
        <v>494</v>
      </c>
      <c r="K48" s="128" t="s">
        <v>632</v>
      </c>
      <c r="L48" s="85">
        <v>45108</v>
      </c>
      <c r="M48" s="85">
        <v>45747</v>
      </c>
    </row>
    <row r="49" spans="1:13" ht="272" x14ac:dyDescent="0.2">
      <c r="A49" s="65" t="s">
        <v>236</v>
      </c>
      <c r="B49" s="65" t="s">
        <v>73</v>
      </c>
      <c r="C49" s="63" t="s">
        <v>240</v>
      </c>
      <c r="D49" s="69">
        <v>1173720</v>
      </c>
      <c r="E49" s="73">
        <f>Table819[[#This Row],[Total US$ ]]*$E$2</f>
        <v>20669209.199999999</v>
      </c>
      <c r="F49" s="65" t="s">
        <v>387</v>
      </c>
      <c r="G49" s="76" t="s">
        <v>241</v>
      </c>
      <c r="H49" s="76"/>
      <c r="I49" s="76" t="s">
        <v>622</v>
      </c>
      <c r="J49" s="84" t="s">
        <v>494</v>
      </c>
      <c r="K49" s="63" t="s">
        <v>649</v>
      </c>
      <c r="L49" s="85">
        <v>45139</v>
      </c>
      <c r="M49" s="85">
        <v>46112</v>
      </c>
    </row>
    <row r="50" spans="1:13" ht="288" x14ac:dyDescent="0.2">
      <c r="A50" s="65" t="s">
        <v>237</v>
      </c>
      <c r="B50" s="65" t="s">
        <v>73</v>
      </c>
      <c r="C50" s="63" t="s">
        <v>292</v>
      </c>
      <c r="D50" s="69">
        <v>375000</v>
      </c>
      <c r="E50" s="73">
        <f>Table819[[#This Row],[Total US$ ]]*$E$2</f>
        <v>6603750</v>
      </c>
      <c r="F50" s="65" t="s">
        <v>387</v>
      </c>
      <c r="G50" s="76" t="s">
        <v>631</v>
      </c>
      <c r="H50" s="76"/>
      <c r="I50" s="76"/>
      <c r="J50" s="84" t="s">
        <v>494</v>
      </c>
      <c r="K50" s="63" t="s">
        <v>429</v>
      </c>
      <c r="L50" s="85">
        <v>45139</v>
      </c>
      <c r="M50" s="85">
        <v>45626</v>
      </c>
    </row>
    <row r="51" spans="1:13" ht="64" x14ac:dyDescent="0.2">
      <c r="A51" s="65" t="s">
        <v>419</v>
      </c>
      <c r="B51" s="65" t="s">
        <v>56</v>
      </c>
      <c r="C51" s="63" t="s">
        <v>623</v>
      </c>
      <c r="D51" s="69">
        <v>1250000</v>
      </c>
      <c r="E51" s="73">
        <f>Table819[[#This Row],[Total US$ ]]*$E$2</f>
        <v>22012500</v>
      </c>
      <c r="F51" s="65" t="s">
        <v>387</v>
      </c>
      <c r="G51" s="76" t="s">
        <v>542</v>
      </c>
      <c r="H51" s="76" t="s">
        <v>624</v>
      </c>
      <c r="I51" s="76"/>
      <c r="J51" s="84" t="s">
        <v>494</v>
      </c>
      <c r="K51" s="63" t="s">
        <v>420</v>
      </c>
      <c r="L51" s="85">
        <v>45078</v>
      </c>
      <c r="M51" s="85">
        <v>46598</v>
      </c>
    </row>
    <row r="52" spans="1:13" ht="96" x14ac:dyDescent="0.2">
      <c r="A52" s="65" t="s">
        <v>421</v>
      </c>
      <c r="B52" s="65" t="s">
        <v>72</v>
      </c>
      <c r="C52" s="63" t="s">
        <v>39</v>
      </c>
      <c r="D52" s="69">
        <v>87500</v>
      </c>
      <c r="E52" s="73">
        <f>Table819[[#This Row],[Total US$ ]]*$E$2</f>
        <v>1540875</v>
      </c>
      <c r="F52" s="65" t="s">
        <v>387</v>
      </c>
      <c r="G52" s="76" t="s">
        <v>543</v>
      </c>
      <c r="H52" s="76"/>
      <c r="I52" s="76"/>
      <c r="J52" s="84" t="s">
        <v>494</v>
      </c>
      <c r="K52" s="84" t="s">
        <v>650</v>
      </c>
      <c r="L52" s="85">
        <v>45047</v>
      </c>
      <c r="M52" s="85">
        <v>46022</v>
      </c>
    </row>
    <row r="53" spans="1:13" ht="208" x14ac:dyDescent="0.2">
      <c r="A53" s="65" t="s">
        <v>238</v>
      </c>
      <c r="B53" s="65" t="s">
        <v>468</v>
      </c>
      <c r="C53" s="63" t="s">
        <v>242</v>
      </c>
      <c r="D53" s="69">
        <v>2923387.1</v>
      </c>
      <c r="E53" s="73">
        <f>Table819[[#This Row],[Total US$ ]]*$E$2</f>
        <v>51480846.831</v>
      </c>
      <c r="F53" s="65" t="s">
        <v>387</v>
      </c>
      <c r="G53" s="76" t="s">
        <v>544</v>
      </c>
      <c r="H53" s="76" t="s">
        <v>625</v>
      </c>
      <c r="I53" s="76" t="s">
        <v>626</v>
      </c>
      <c r="J53" s="84" t="s">
        <v>494</v>
      </c>
      <c r="K53" s="63" t="s">
        <v>315</v>
      </c>
      <c r="L53" s="85">
        <v>44501</v>
      </c>
      <c r="M53" s="85">
        <v>46387</v>
      </c>
    </row>
    <row r="54" spans="1:13" ht="224" x14ac:dyDescent="0.2">
      <c r="A54" s="65" t="s">
        <v>239</v>
      </c>
      <c r="B54" s="65" t="s">
        <v>468</v>
      </c>
      <c r="C54" s="63" t="s">
        <v>242</v>
      </c>
      <c r="D54" s="69">
        <v>2923387.1</v>
      </c>
      <c r="E54" s="73">
        <f>Table819[[#This Row],[Total US$ ]]*$E$2</f>
        <v>51480846.831</v>
      </c>
      <c r="F54" s="65" t="s">
        <v>387</v>
      </c>
      <c r="G54" s="76" t="s">
        <v>545</v>
      </c>
      <c r="H54" s="76" t="s">
        <v>625</v>
      </c>
      <c r="I54" s="76" t="s">
        <v>626</v>
      </c>
      <c r="J54" s="84" t="s">
        <v>494</v>
      </c>
      <c r="K54" s="63" t="s">
        <v>316</v>
      </c>
      <c r="L54" s="85">
        <v>44501</v>
      </c>
      <c r="M54" s="85">
        <v>46387</v>
      </c>
    </row>
    <row r="55" spans="1:13" ht="144" x14ac:dyDescent="0.2">
      <c r="A55" s="65" t="s">
        <v>473</v>
      </c>
      <c r="B55" s="65" t="s">
        <v>468</v>
      </c>
      <c r="C55" s="63" t="s">
        <v>474</v>
      </c>
      <c r="D55" s="69">
        <v>360356.25</v>
      </c>
      <c r="E55" s="73">
        <f>Table819[[#This Row],[Total US$ ]]*$E$2</f>
        <v>6345873.5625</v>
      </c>
      <c r="F55" s="65" t="s">
        <v>387</v>
      </c>
      <c r="G55" s="76" t="s">
        <v>384</v>
      </c>
      <c r="H55" s="76" t="s">
        <v>627</v>
      </c>
      <c r="I55" s="76"/>
      <c r="J55" s="84" t="s">
        <v>495</v>
      </c>
      <c r="K55" s="63" t="s">
        <v>475</v>
      </c>
      <c r="L55" s="86">
        <v>45308</v>
      </c>
      <c r="M55" s="86">
        <v>45382</v>
      </c>
    </row>
    <row r="56" spans="1:13" ht="80" x14ac:dyDescent="0.2">
      <c r="A56" s="65" t="s">
        <v>423</v>
      </c>
      <c r="B56" s="65" t="s">
        <v>73</v>
      </c>
      <c r="C56" s="63" t="s">
        <v>628</v>
      </c>
      <c r="D56" s="69">
        <v>4873495</v>
      </c>
      <c r="E56" s="73">
        <f>Table819[[#This Row],[Total US$ ]]*$E$2</f>
        <v>85822246.950000003</v>
      </c>
      <c r="F56" s="65" t="s">
        <v>387</v>
      </c>
      <c r="G56" s="76" t="s">
        <v>629</v>
      </c>
      <c r="H56" s="76"/>
      <c r="I56" s="76" t="s">
        <v>630</v>
      </c>
      <c r="J56" s="84" t="s">
        <v>494</v>
      </c>
      <c r="K56" s="12" t="s">
        <v>430</v>
      </c>
      <c r="L56" s="85">
        <v>45170</v>
      </c>
      <c r="M56" s="85">
        <v>46629</v>
      </c>
    </row>
    <row r="57" spans="1:13" ht="272" x14ac:dyDescent="0.2">
      <c r="A57" s="65" t="s">
        <v>654</v>
      </c>
      <c r="B57" s="65" t="s">
        <v>468</v>
      </c>
      <c r="C57" s="63" t="s">
        <v>28</v>
      </c>
      <c r="D57" s="69">
        <v>1249200</v>
      </c>
      <c r="E57" s="73">
        <f>Table819[[#This Row],[Total US$ ]]*$E$2</f>
        <v>21998412</v>
      </c>
      <c r="F57" s="65" t="s">
        <v>387</v>
      </c>
      <c r="G57" s="64" t="s">
        <v>655</v>
      </c>
      <c r="H57" s="76" t="s">
        <v>656</v>
      </c>
      <c r="I57" s="76" t="s">
        <v>657</v>
      </c>
      <c r="J57" s="84" t="s">
        <v>494</v>
      </c>
      <c r="K57" s="63" t="s">
        <v>658</v>
      </c>
      <c r="L57" s="85">
        <v>45139</v>
      </c>
      <c r="M57" s="85">
        <v>46265</v>
      </c>
    </row>
    <row r="58" spans="1:13" ht="48" x14ac:dyDescent="0.2">
      <c r="A58" s="65" t="s">
        <v>400</v>
      </c>
      <c r="B58" s="65" t="s">
        <v>468</v>
      </c>
      <c r="C58" s="63" t="s">
        <v>0</v>
      </c>
      <c r="D58" s="69">
        <v>7560000.0000000009</v>
      </c>
      <c r="E58" s="73">
        <f>Table819[[#This Row],[Total US$ ]]*$E$2</f>
        <v>133131600.00000001</v>
      </c>
      <c r="F58" s="65" t="s">
        <v>85</v>
      </c>
      <c r="G58" s="65" t="s">
        <v>2</v>
      </c>
      <c r="H58" s="65" t="s">
        <v>2</v>
      </c>
      <c r="I58" s="65"/>
      <c r="J58" s="110" t="s">
        <v>251</v>
      </c>
      <c r="K58" s="88" t="s">
        <v>410</v>
      </c>
      <c r="L58" s="85">
        <v>45838</v>
      </c>
      <c r="M58" s="85">
        <v>46022</v>
      </c>
    </row>
    <row r="59" spans="1:13" ht="48" x14ac:dyDescent="0.2">
      <c r="A59" s="65" t="s">
        <v>150</v>
      </c>
      <c r="B59" s="65" t="s">
        <v>468</v>
      </c>
      <c r="C59" s="63" t="s">
        <v>256</v>
      </c>
      <c r="D59" s="69">
        <v>10260000</v>
      </c>
      <c r="E59" s="73">
        <f>Table819[[#This Row],[Total US$ ]]*$E$2</f>
        <v>180678600</v>
      </c>
      <c r="F59" s="65" t="s">
        <v>85</v>
      </c>
      <c r="G59" s="76" t="s">
        <v>548</v>
      </c>
      <c r="H59" s="76" t="s">
        <v>548</v>
      </c>
      <c r="I59" s="76"/>
      <c r="J59" s="110" t="s">
        <v>494</v>
      </c>
      <c r="K59" s="63" t="s">
        <v>552</v>
      </c>
      <c r="L59" s="86">
        <v>44501</v>
      </c>
      <c r="M59" s="86">
        <v>46387</v>
      </c>
    </row>
    <row r="60" spans="1:13" ht="112" x14ac:dyDescent="0.2">
      <c r="A60" s="65" t="s">
        <v>151</v>
      </c>
      <c r="B60" s="65" t="s">
        <v>468</v>
      </c>
      <c r="C60" s="63" t="s">
        <v>256</v>
      </c>
      <c r="D60" s="69">
        <v>16740000.000000002</v>
      </c>
      <c r="E60" s="73">
        <f>Table819[[#This Row],[Total US$ ]]*$E$2</f>
        <v>294791400</v>
      </c>
      <c r="F60" s="65" t="s">
        <v>85</v>
      </c>
      <c r="G60" s="63" t="s">
        <v>549</v>
      </c>
      <c r="H60" s="63" t="s">
        <v>549</v>
      </c>
      <c r="I60" s="63"/>
      <c r="J60" s="110" t="s">
        <v>494</v>
      </c>
      <c r="K60" s="63" t="s">
        <v>553</v>
      </c>
      <c r="L60" s="86">
        <v>44562</v>
      </c>
      <c r="M60" s="85">
        <v>46022</v>
      </c>
    </row>
    <row r="61" spans="1:13" ht="48" x14ac:dyDescent="0.2">
      <c r="A61" s="65" t="s">
        <v>152</v>
      </c>
      <c r="B61" s="65" t="s">
        <v>70</v>
      </c>
      <c r="C61" s="63" t="s">
        <v>256</v>
      </c>
      <c r="D61" s="69">
        <v>3240000</v>
      </c>
      <c r="E61" s="73">
        <f>Table819[[#This Row],[Total US$ ]]*$E$2</f>
        <v>57056400</v>
      </c>
      <c r="F61" s="65" t="s">
        <v>85</v>
      </c>
      <c r="G61" s="76" t="s">
        <v>52</v>
      </c>
      <c r="H61" s="76" t="s">
        <v>257</v>
      </c>
      <c r="I61" s="76"/>
      <c r="J61" s="110" t="s">
        <v>494</v>
      </c>
      <c r="K61" s="63" t="s">
        <v>317</v>
      </c>
      <c r="L61" s="86">
        <v>44501</v>
      </c>
      <c r="M61" s="86">
        <v>45838</v>
      </c>
    </row>
    <row r="62" spans="1:13" ht="32" x14ac:dyDescent="0.2">
      <c r="A62" s="65" t="s">
        <v>153</v>
      </c>
      <c r="B62" s="65" t="s">
        <v>468</v>
      </c>
      <c r="C62" s="63" t="s">
        <v>256</v>
      </c>
      <c r="D62" s="69">
        <v>3240000</v>
      </c>
      <c r="E62" s="73">
        <f>Table819[[#This Row],[Total US$ ]]*$E$2</f>
        <v>57056400</v>
      </c>
      <c r="F62" s="65" t="s">
        <v>85</v>
      </c>
      <c r="G62" s="64" t="s">
        <v>353</v>
      </c>
      <c r="H62" s="64" t="s">
        <v>51</v>
      </c>
      <c r="I62" s="64"/>
      <c r="J62" s="110" t="s">
        <v>494</v>
      </c>
      <c r="K62" s="63" t="s">
        <v>318</v>
      </c>
      <c r="L62" s="86">
        <v>44501</v>
      </c>
      <c r="M62" s="85">
        <v>45657</v>
      </c>
    </row>
    <row r="63" spans="1:13" ht="32" x14ac:dyDescent="0.2">
      <c r="A63" s="65" t="s">
        <v>402</v>
      </c>
      <c r="B63" s="65" t="s">
        <v>468</v>
      </c>
      <c r="C63" s="63" t="s">
        <v>256</v>
      </c>
      <c r="D63" s="69">
        <v>4860000</v>
      </c>
      <c r="E63" s="73">
        <f>Table819[[#This Row],[Total US$ ]]*$E$2</f>
        <v>85584600</v>
      </c>
      <c r="F63" s="65" t="s">
        <v>85</v>
      </c>
      <c r="G63" s="64" t="s">
        <v>51</v>
      </c>
      <c r="H63" s="64" t="s">
        <v>403</v>
      </c>
      <c r="I63" s="64"/>
      <c r="J63" s="110" t="s">
        <v>494</v>
      </c>
      <c r="K63" s="62" t="s">
        <v>411</v>
      </c>
      <c r="L63" s="86">
        <v>45292</v>
      </c>
      <c r="M63" s="86">
        <v>46387</v>
      </c>
    </row>
    <row r="64" spans="1:13" ht="395" x14ac:dyDescent="0.2">
      <c r="A64" s="65" t="s">
        <v>154</v>
      </c>
      <c r="B64" s="65" t="s">
        <v>73</v>
      </c>
      <c r="C64" s="63" t="s">
        <v>9</v>
      </c>
      <c r="D64" s="69">
        <v>16200000.000000002</v>
      </c>
      <c r="E64" s="73">
        <f>Table819[[#This Row],[Total US$ ]]*$E$2</f>
        <v>285282000</v>
      </c>
      <c r="F64" s="65" t="s">
        <v>85</v>
      </c>
      <c r="G64" s="64" t="s">
        <v>55</v>
      </c>
      <c r="H64" s="64" t="s">
        <v>723</v>
      </c>
      <c r="I64" s="64"/>
      <c r="J64" s="110" t="s">
        <v>494</v>
      </c>
      <c r="K64" s="63" t="s">
        <v>319</v>
      </c>
      <c r="L64" s="86">
        <v>44713</v>
      </c>
      <c r="M64" s="86">
        <v>46630</v>
      </c>
    </row>
    <row r="65" spans="1:13" ht="48" x14ac:dyDescent="0.2">
      <c r="A65" s="65" t="s">
        <v>155</v>
      </c>
      <c r="B65" s="65" t="s">
        <v>468</v>
      </c>
      <c r="C65" s="63" t="s">
        <v>14</v>
      </c>
      <c r="D65" s="69">
        <v>21600000</v>
      </c>
      <c r="E65" s="73">
        <f>Table819[[#This Row],[Total US$ ]]*$E$2</f>
        <v>380376000</v>
      </c>
      <c r="F65" s="65" t="s">
        <v>85</v>
      </c>
      <c r="G65" s="64" t="s">
        <v>351</v>
      </c>
      <c r="H65" s="64" t="s">
        <v>16</v>
      </c>
      <c r="I65" s="64"/>
      <c r="J65" s="110" t="s">
        <v>494</v>
      </c>
      <c r="K65" s="63" t="s">
        <v>320</v>
      </c>
      <c r="L65" s="86">
        <v>44562</v>
      </c>
      <c r="M65" s="86">
        <v>47118</v>
      </c>
    </row>
    <row r="66" spans="1:13" ht="32" x14ac:dyDescent="0.2">
      <c r="A66" s="65" t="s">
        <v>404</v>
      </c>
      <c r="B66" s="65" t="s">
        <v>468</v>
      </c>
      <c r="C66" s="63" t="s">
        <v>14</v>
      </c>
      <c r="D66" s="69">
        <v>21600000</v>
      </c>
      <c r="E66" s="73">
        <f>Table819[[#This Row],[Total US$ ]]*$E$2</f>
        <v>380376000</v>
      </c>
      <c r="F66" s="65" t="s">
        <v>85</v>
      </c>
      <c r="G66" s="64" t="s">
        <v>405</v>
      </c>
      <c r="H66" s="64" t="s">
        <v>16</v>
      </c>
      <c r="I66" s="64"/>
      <c r="J66" s="110" t="s">
        <v>251</v>
      </c>
      <c r="K66" s="62" t="s">
        <v>412</v>
      </c>
      <c r="L66" s="86">
        <v>45292</v>
      </c>
      <c r="M66" s="86">
        <v>47848</v>
      </c>
    </row>
    <row r="67" spans="1:13" ht="64" x14ac:dyDescent="0.2">
      <c r="A67" s="65" t="s">
        <v>156</v>
      </c>
      <c r="B67" s="65" t="s">
        <v>56</v>
      </c>
      <c r="C67" s="63" t="s">
        <v>23</v>
      </c>
      <c r="D67" s="69">
        <v>20520000</v>
      </c>
      <c r="E67" s="73">
        <f>Table819[[#This Row],[Total US$ ]]*$E$2</f>
        <v>361357200</v>
      </c>
      <c r="F67" s="65" t="s">
        <v>85</v>
      </c>
      <c r="G67" s="64" t="s">
        <v>352</v>
      </c>
      <c r="H67" s="64" t="s">
        <v>258</v>
      </c>
      <c r="I67" s="64"/>
      <c r="J67" s="110" t="s">
        <v>494</v>
      </c>
      <c r="K67" s="63" t="s">
        <v>321</v>
      </c>
      <c r="L67" s="86">
        <v>44501</v>
      </c>
      <c r="M67" s="86">
        <v>46387</v>
      </c>
    </row>
    <row r="68" spans="1:13" ht="32" x14ac:dyDescent="0.2">
      <c r="A68" s="65" t="s">
        <v>157</v>
      </c>
      <c r="B68" s="65" t="s">
        <v>70</v>
      </c>
      <c r="C68" s="63" t="s">
        <v>28</v>
      </c>
      <c r="D68" s="69">
        <v>24840000</v>
      </c>
      <c r="E68" s="73">
        <f>Table819[[#This Row],[Total US$ ]]*$E$2</f>
        <v>437432400</v>
      </c>
      <c r="F68" s="65" t="s">
        <v>85</v>
      </c>
      <c r="G68" s="76" t="s">
        <v>354</v>
      </c>
      <c r="H68" s="76" t="s">
        <v>30</v>
      </c>
      <c r="I68" s="76"/>
      <c r="J68" s="110" t="s">
        <v>251</v>
      </c>
      <c r="K68" s="88" t="s">
        <v>29</v>
      </c>
      <c r="L68" s="86">
        <v>44562</v>
      </c>
      <c r="M68" s="86">
        <v>47483</v>
      </c>
    </row>
    <row r="69" spans="1:13" ht="48" x14ac:dyDescent="0.2">
      <c r="A69" s="65" t="s">
        <v>158</v>
      </c>
      <c r="B69" s="65" t="s">
        <v>70</v>
      </c>
      <c r="C69" s="63" t="s">
        <v>28</v>
      </c>
      <c r="D69" s="69">
        <v>16740000.000000002</v>
      </c>
      <c r="E69" s="73">
        <f>Table819[[#This Row],[Total US$ ]]*$E$2</f>
        <v>294791400</v>
      </c>
      <c r="F69" s="65" t="s">
        <v>85</v>
      </c>
      <c r="G69" s="76" t="s">
        <v>355</v>
      </c>
      <c r="H69" s="76" t="s">
        <v>259</v>
      </c>
      <c r="I69" s="76"/>
      <c r="J69" s="110" t="s">
        <v>494</v>
      </c>
      <c r="K69" s="63" t="s">
        <v>322</v>
      </c>
      <c r="L69" s="86">
        <v>44501</v>
      </c>
      <c r="M69" s="86">
        <v>46022</v>
      </c>
    </row>
    <row r="70" spans="1:13" ht="208" x14ac:dyDescent="0.2">
      <c r="A70" s="65" t="s">
        <v>406</v>
      </c>
      <c r="B70" s="65" t="s">
        <v>72</v>
      </c>
      <c r="C70" s="63" t="s">
        <v>32</v>
      </c>
      <c r="D70" s="69">
        <v>11880000</v>
      </c>
      <c r="E70" s="73">
        <f>Table819[[#This Row],[Total US$ ]]*$E$2</f>
        <v>209206800</v>
      </c>
      <c r="F70" s="65" t="s">
        <v>85</v>
      </c>
      <c r="G70" s="76" t="s">
        <v>424</v>
      </c>
      <c r="H70" s="76" t="s">
        <v>34</v>
      </c>
      <c r="I70" s="76"/>
      <c r="J70" s="110" t="s">
        <v>251</v>
      </c>
      <c r="K70" s="62" t="s">
        <v>413</v>
      </c>
      <c r="L70" s="86">
        <v>44927</v>
      </c>
      <c r="M70" s="86">
        <v>47117</v>
      </c>
    </row>
    <row r="71" spans="1:13" ht="192" x14ac:dyDescent="0.2">
      <c r="A71" s="65" t="s">
        <v>407</v>
      </c>
      <c r="B71" s="65" t="s">
        <v>72</v>
      </c>
      <c r="C71" s="63" t="s">
        <v>32</v>
      </c>
      <c r="D71" s="69">
        <v>10800000</v>
      </c>
      <c r="E71" s="73">
        <f>Table819[[#This Row],[Total US$ ]]*$E$2</f>
        <v>190188000</v>
      </c>
      <c r="F71" s="65" t="s">
        <v>85</v>
      </c>
      <c r="G71" s="76" t="s">
        <v>425</v>
      </c>
      <c r="H71" s="76" t="s">
        <v>408</v>
      </c>
      <c r="I71" s="76"/>
      <c r="J71" s="110" t="s">
        <v>251</v>
      </c>
      <c r="K71" s="62" t="s">
        <v>414</v>
      </c>
      <c r="L71" s="86">
        <v>45292</v>
      </c>
      <c r="M71" s="86">
        <v>47483</v>
      </c>
    </row>
    <row r="72" spans="1:13" ht="48" x14ac:dyDescent="0.2">
      <c r="A72" s="65" t="s">
        <v>159</v>
      </c>
      <c r="B72" s="65" t="s">
        <v>72</v>
      </c>
      <c r="C72" s="63" t="s">
        <v>32</v>
      </c>
      <c r="D72" s="69">
        <v>13500000</v>
      </c>
      <c r="E72" s="73">
        <f>Table819[[#This Row],[Total US$ ]]*$E$2</f>
        <v>237735000</v>
      </c>
      <c r="F72" s="65" t="s">
        <v>85</v>
      </c>
      <c r="G72" s="76" t="s">
        <v>356</v>
      </c>
      <c r="H72" s="76" t="s">
        <v>724</v>
      </c>
      <c r="I72" s="76"/>
      <c r="J72" s="110" t="s">
        <v>494</v>
      </c>
      <c r="K72" s="63" t="s">
        <v>323</v>
      </c>
      <c r="L72" s="86">
        <v>44713</v>
      </c>
      <c r="M72" s="86">
        <v>45808</v>
      </c>
    </row>
    <row r="73" spans="1:13" ht="32" x14ac:dyDescent="0.2">
      <c r="A73" s="65" t="s">
        <v>160</v>
      </c>
      <c r="B73" s="65" t="s">
        <v>72</v>
      </c>
      <c r="C73" s="63" t="s">
        <v>32</v>
      </c>
      <c r="D73" s="69">
        <v>6480000</v>
      </c>
      <c r="E73" s="73">
        <f>Table819[[#This Row],[Total US$ ]]*$E$2</f>
        <v>114112800</v>
      </c>
      <c r="F73" s="65" t="s">
        <v>85</v>
      </c>
      <c r="G73" s="76" t="s">
        <v>58</v>
      </c>
      <c r="H73" s="76" t="s">
        <v>58</v>
      </c>
      <c r="I73" s="76"/>
      <c r="J73" s="110" t="s">
        <v>495</v>
      </c>
      <c r="K73" s="62" t="s">
        <v>324</v>
      </c>
      <c r="L73" s="86">
        <v>44501</v>
      </c>
      <c r="M73" s="86">
        <v>45382</v>
      </c>
    </row>
    <row r="74" spans="1:13" ht="48" x14ac:dyDescent="0.2">
      <c r="A74" s="65" t="s">
        <v>161</v>
      </c>
      <c r="B74" s="65" t="s">
        <v>56</v>
      </c>
      <c r="C74" s="63" t="s">
        <v>44</v>
      </c>
      <c r="D74" s="69">
        <v>5400000</v>
      </c>
      <c r="E74" s="73">
        <f>Table819[[#This Row],[Total US$ ]]*$E$2</f>
        <v>95094000</v>
      </c>
      <c r="F74" s="65" t="s">
        <v>85</v>
      </c>
      <c r="G74" s="76" t="s">
        <v>357</v>
      </c>
      <c r="H74" s="76" t="s">
        <v>260</v>
      </c>
      <c r="I74" s="76"/>
      <c r="J74" s="110" t="s">
        <v>494</v>
      </c>
      <c r="K74" s="63" t="s">
        <v>325</v>
      </c>
      <c r="L74" s="85">
        <v>44562</v>
      </c>
      <c r="M74" s="85">
        <v>46387</v>
      </c>
    </row>
    <row r="75" spans="1:13" ht="32" x14ac:dyDescent="0.2">
      <c r="A75" s="65" t="s">
        <v>162</v>
      </c>
      <c r="B75" s="65" t="s">
        <v>73</v>
      </c>
      <c r="C75" s="63" t="s">
        <v>45</v>
      </c>
      <c r="D75" s="69">
        <v>378000</v>
      </c>
      <c r="E75" s="73">
        <f>Table819[[#This Row],[Total US$ ]]*$E$2</f>
        <v>6656580</v>
      </c>
      <c r="F75" s="65" t="s">
        <v>85</v>
      </c>
      <c r="G75" s="76" t="s">
        <v>358</v>
      </c>
      <c r="H75" s="76" t="s">
        <v>54</v>
      </c>
      <c r="I75" s="76"/>
      <c r="J75" s="110" t="s">
        <v>494</v>
      </c>
      <c r="K75" s="63" t="s">
        <v>15</v>
      </c>
      <c r="L75" s="85">
        <v>44713</v>
      </c>
      <c r="M75" s="85">
        <v>45657</v>
      </c>
    </row>
    <row r="76" spans="1:13" ht="32" x14ac:dyDescent="0.2">
      <c r="A76" s="65" t="s">
        <v>163</v>
      </c>
      <c r="B76" s="65" t="s">
        <v>73</v>
      </c>
      <c r="C76" s="63" t="s">
        <v>101</v>
      </c>
      <c r="D76" s="69">
        <v>280800</v>
      </c>
      <c r="E76" s="73">
        <f>Table819[[#This Row],[Total US$ ]]*$E$2</f>
        <v>4944888</v>
      </c>
      <c r="F76" s="65" t="s">
        <v>85</v>
      </c>
      <c r="G76" s="64"/>
      <c r="H76" s="64" t="s">
        <v>6</v>
      </c>
      <c r="I76" s="64"/>
      <c r="J76" s="110" t="s">
        <v>494</v>
      </c>
      <c r="K76" s="63"/>
      <c r="L76" s="85">
        <v>44896</v>
      </c>
      <c r="M76" s="85">
        <v>46111</v>
      </c>
    </row>
    <row r="77" spans="1:13" ht="112" x14ac:dyDescent="0.2">
      <c r="A77" s="65" t="s">
        <v>501</v>
      </c>
      <c r="B77" s="65" t="s">
        <v>73</v>
      </c>
      <c r="C77" s="63" t="s">
        <v>409</v>
      </c>
      <c r="D77" s="69">
        <v>32400000.000000004</v>
      </c>
      <c r="E77" s="73">
        <f>Table819[[#This Row],[Total US$ ]]*$E$2</f>
        <v>570564000</v>
      </c>
      <c r="F77" s="65" t="s">
        <v>85</v>
      </c>
      <c r="G77" s="64"/>
      <c r="H77" s="64"/>
      <c r="I77" s="64"/>
      <c r="J77" s="110" t="s">
        <v>251</v>
      </c>
      <c r="K77" s="62"/>
      <c r="L77" s="86">
        <v>45505</v>
      </c>
      <c r="M77" s="86">
        <v>46598</v>
      </c>
    </row>
    <row r="78" spans="1:13" ht="80" x14ac:dyDescent="0.2">
      <c r="A78" s="65" t="s">
        <v>288</v>
      </c>
      <c r="B78" s="65" t="s">
        <v>70</v>
      </c>
      <c r="C78" s="63" t="s">
        <v>290</v>
      </c>
      <c r="D78" s="69">
        <v>32400000.000000004</v>
      </c>
      <c r="E78" s="73">
        <f>Table819[[#This Row],[Total US$ ]]*$E$2</f>
        <v>570564000</v>
      </c>
      <c r="F78" s="65" t="s">
        <v>85</v>
      </c>
      <c r="G78" s="64"/>
      <c r="H78" s="64"/>
      <c r="I78" s="64"/>
      <c r="J78" s="110" t="s">
        <v>494</v>
      </c>
      <c r="K78" s="62" t="s">
        <v>295</v>
      </c>
      <c r="L78" s="86">
        <v>44564</v>
      </c>
      <c r="M78" s="86">
        <v>45657</v>
      </c>
    </row>
    <row r="79" spans="1:13" ht="128" x14ac:dyDescent="0.2">
      <c r="A79" s="65" t="s">
        <v>289</v>
      </c>
      <c r="B79" s="65" t="s">
        <v>70</v>
      </c>
      <c r="C79" s="63" t="s">
        <v>291</v>
      </c>
      <c r="D79" s="69">
        <v>4320000</v>
      </c>
      <c r="E79" s="73">
        <f>Table819[[#This Row],[Total US$ ]]*$E$2</f>
        <v>76075200</v>
      </c>
      <c r="F79" s="65" t="s">
        <v>85</v>
      </c>
      <c r="G79" s="64"/>
      <c r="H79" s="64" t="s">
        <v>725</v>
      </c>
      <c r="I79" s="64"/>
      <c r="J79" s="110" t="s">
        <v>494</v>
      </c>
      <c r="K79" s="62" t="s">
        <v>296</v>
      </c>
      <c r="L79" s="86">
        <v>44837</v>
      </c>
      <c r="M79" s="86">
        <v>45930</v>
      </c>
    </row>
    <row r="80" spans="1:13" ht="64" x14ac:dyDescent="0.2">
      <c r="A80" s="65" t="s">
        <v>167</v>
      </c>
      <c r="B80" s="65" t="s">
        <v>468</v>
      </c>
      <c r="C80" s="62" t="s">
        <v>0</v>
      </c>
      <c r="D80" s="69">
        <v>680400</v>
      </c>
      <c r="E80" s="73">
        <f>Table819[[#This Row],[Total US$ ]]*$E$2</f>
        <v>11981844</v>
      </c>
      <c r="F80" s="65" t="s">
        <v>84</v>
      </c>
      <c r="G80" s="76" t="s">
        <v>359</v>
      </c>
      <c r="H80" s="76"/>
      <c r="I80" s="76"/>
      <c r="J80" s="84" t="s">
        <v>251</v>
      </c>
      <c r="K80" s="63" t="s">
        <v>326</v>
      </c>
      <c r="L80" s="85">
        <v>44562</v>
      </c>
      <c r="M80" s="85">
        <v>45657</v>
      </c>
    </row>
    <row r="81" spans="1:13" ht="80" x14ac:dyDescent="0.2">
      <c r="A81" s="65" t="s">
        <v>168</v>
      </c>
      <c r="B81" s="65" t="s">
        <v>468</v>
      </c>
      <c r="C81" s="62" t="s">
        <v>0</v>
      </c>
      <c r="D81" s="69">
        <v>297000</v>
      </c>
      <c r="E81" s="73">
        <f>Table819[[#This Row],[Total US$ ]]*$E$2</f>
        <v>5230170</v>
      </c>
      <c r="F81" s="65" t="s">
        <v>84</v>
      </c>
      <c r="G81" s="64" t="s">
        <v>360</v>
      </c>
      <c r="H81" s="64"/>
      <c r="I81" s="64"/>
      <c r="J81" s="84" t="s">
        <v>251</v>
      </c>
      <c r="K81" s="63" t="s">
        <v>327</v>
      </c>
      <c r="L81" s="85">
        <v>44562</v>
      </c>
      <c r="M81" s="85">
        <v>45657</v>
      </c>
    </row>
    <row r="82" spans="1:13" ht="80" x14ac:dyDescent="0.2">
      <c r="A82" s="65" t="s">
        <v>169</v>
      </c>
      <c r="B82" s="65" t="s">
        <v>73</v>
      </c>
      <c r="C82" s="62" t="s">
        <v>9</v>
      </c>
      <c r="D82" s="69">
        <v>540000</v>
      </c>
      <c r="E82" s="73">
        <f>Table819[[#This Row],[Total US$ ]]*$E$2</f>
        <v>9509400</v>
      </c>
      <c r="F82" s="65" t="s">
        <v>84</v>
      </c>
      <c r="G82" s="64" t="s">
        <v>361</v>
      </c>
      <c r="H82" s="64"/>
      <c r="I82" s="64"/>
      <c r="J82" s="84" t="s">
        <v>494</v>
      </c>
      <c r="K82" s="63" t="s">
        <v>328</v>
      </c>
      <c r="L82" s="85">
        <v>44501</v>
      </c>
      <c r="M82" s="85">
        <v>45657</v>
      </c>
    </row>
    <row r="83" spans="1:13" ht="32" x14ac:dyDescent="0.2">
      <c r="A83" s="65" t="s">
        <v>170</v>
      </c>
      <c r="B83" s="65" t="s">
        <v>73</v>
      </c>
      <c r="C83" s="62" t="s">
        <v>9</v>
      </c>
      <c r="D83" s="69">
        <v>216000</v>
      </c>
      <c r="E83" s="73">
        <f>Table819[[#This Row],[Total US$ ]]*$E$2</f>
        <v>3803760</v>
      </c>
      <c r="F83" s="65" t="s">
        <v>84</v>
      </c>
      <c r="G83" s="64" t="s">
        <v>362</v>
      </c>
      <c r="H83" s="64"/>
      <c r="I83" s="64"/>
      <c r="J83" s="84" t="s">
        <v>495</v>
      </c>
      <c r="K83" s="62" t="s">
        <v>329</v>
      </c>
      <c r="L83" s="85">
        <v>44562</v>
      </c>
      <c r="M83" s="85">
        <v>45291</v>
      </c>
    </row>
    <row r="84" spans="1:13" ht="224" x14ac:dyDescent="0.2">
      <c r="A84" s="65" t="s">
        <v>171</v>
      </c>
      <c r="B84" s="65" t="s">
        <v>73</v>
      </c>
      <c r="C84" s="62" t="s">
        <v>97</v>
      </c>
      <c r="D84" s="69">
        <v>385560</v>
      </c>
      <c r="E84" s="73">
        <f>Table819[[#This Row],[Total US$ ]]*$E$2</f>
        <v>6789711.5999999996</v>
      </c>
      <c r="F84" s="65" t="s">
        <v>84</v>
      </c>
      <c r="G84" s="63" t="s">
        <v>747</v>
      </c>
      <c r="H84" s="64"/>
      <c r="I84" s="64"/>
      <c r="J84" s="84" t="s">
        <v>494</v>
      </c>
      <c r="K84" s="63" t="s">
        <v>748</v>
      </c>
      <c r="L84" s="86">
        <v>45078</v>
      </c>
      <c r="M84" s="85">
        <v>45747</v>
      </c>
    </row>
    <row r="85" spans="1:13" ht="32" x14ac:dyDescent="0.2">
      <c r="A85" s="65" t="s">
        <v>172</v>
      </c>
      <c r="B85" s="65" t="s">
        <v>73</v>
      </c>
      <c r="C85" s="62" t="s">
        <v>14</v>
      </c>
      <c r="D85" s="69">
        <v>32400.000000000004</v>
      </c>
      <c r="E85" s="73">
        <f>Table819[[#This Row],[Total US$ ]]*$E$2</f>
        <v>570564</v>
      </c>
      <c r="F85" s="65" t="s">
        <v>84</v>
      </c>
      <c r="G85" s="64" t="s">
        <v>363</v>
      </c>
      <c r="H85" s="64"/>
      <c r="I85" s="64"/>
      <c r="J85" s="84" t="s">
        <v>494</v>
      </c>
      <c r="K85" s="63" t="s">
        <v>330</v>
      </c>
      <c r="L85" s="85">
        <v>44562</v>
      </c>
      <c r="M85" s="85">
        <v>46752</v>
      </c>
    </row>
    <row r="86" spans="1:13" ht="144" x14ac:dyDescent="0.2">
      <c r="A86" s="65" t="s">
        <v>173</v>
      </c>
      <c r="B86" s="65" t="s">
        <v>468</v>
      </c>
      <c r="C86" s="63" t="s">
        <v>36</v>
      </c>
      <c r="D86" s="69">
        <v>162000</v>
      </c>
      <c r="E86" s="73">
        <f>Table819[[#This Row],[Total US$ ]]*$E$2</f>
        <v>2852820</v>
      </c>
      <c r="F86" s="65" t="s">
        <v>84</v>
      </c>
      <c r="G86" s="64" t="s">
        <v>37</v>
      </c>
      <c r="H86" s="64"/>
      <c r="I86" s="64"/>
      <c r="J86" s="84" t="s">
        <v>494</v>
      </c>
      <c r="K86" s="63" t="s">
        <v>331</v>
      </c>
      <c r="L86" s="85">
        <v>44501</v>
      </c>
      <c r="M86" s="85">
        <v>46751</v>
      </c>
    </row>
    <row r="87" spans="1:13" ht="240" x14ac:dyDescent="0.2">
      <c r="A87" s="65" t="s">
        <v>174</v>
      </c>
      <c r="B87" s="63" t="s">
        <v>73</v>
      </c>
      <c r="C87" s="62" t="s">
        <v>266</v>
      </c>
      <c r="D87" s="69">
        <v>16200.000000000002</v>
      </c>
      <c r="E87" s="73">
        <f>Table819[[#This Row],[Total US$ ]]*$E$2</f>
        <v>285282</v>
      </c>
      <c r="F87" s="65" t="s">
        <v>84</v>
      </c>
      <c r="G87" s="64" t="s">
        <v>271</v>
      </c>
      <c r="H87" s="64"/>
      <c r="I87" s="64"/>
      <c r="J87" s="84" t="s">
        <v>495</v>
      </c>
      <c r="K87" s="63" t="s">
        <v>332</v>
      </c>
      <c r="L87" s="85">
        <v>44501</v>
      </c>
      <c r="M87" s="85">
        <v>44926</v>
      </c>
    </row>
    <row r="88" spans="1:13" ht="224" x14ac:dyDescent="0.2">
      <c r="A88" s="65" t="s">
        <v>261</v>
      </c>
      <c r="B88" s="63" t="s">
        <v>73</v>
      </c>
      <c r="C88" s="62" t="s">
        <v>267</v>
      </c>
      <c r="D88" s="69">
        <v>129600.00000000001</v>
      </c>
      <c r="E88" s="73">
        <f>Table819[[#This Row],[Total US$ ]]*$E$2</f>
        <v>2282256</v>
      </c>
      <c r="F88" s="65" t="s">
        <v>84</v>
      </c>
      <c r="G88" s="64" t="s">
        <v>364</v>
      </c>
      <c r="H88" s="64"/>
      <c r="I88" s="64"/>
      <c r="J88" s="84" t="s">
        <v>495</v>
      </c>
      <c r="K88" s="63" t="s">
        <v>333</v>
      </c>
      <c r="L88" s="85">
        <v>44501</v>
      </c>
      <c r="M88" s="85">
        <v>44926</v>
      </c>
    </row>
    <row r="89" spans="1:13" ht="128" x14ac:dyDescent="0.2">
      <c r="A89" s="65" t="s">
        <v>262</v>
      </c>
      <c r="B89" s="63" t="s">
        <v>73</v>
      </c>
      <c r="C89" s="62" t="s">
        <v>713</v>
      </c>
      <c r="D89" s="69">
        <v>21600</v>
      </c>
      <c r="E89" s="73">
        <f>Table819[[#This Row],[Total US$ ]]*$E$2</f>
        <v>380376</v>
      </c>
      <c r="F89" s="65" t="s">
        <v>84</v>
      </c>
      <c r="G89" s="64" t="s">
        <v>365</v>
      </c>
      <c r="H89" s="64"/>
      <c r="I89" s="64"/>
      <c r="J89" s="84" t="s">
        <v>495</v>
      </c>
      <c r="K89" s="63" t="s">
        <v>334</v>
      </c>
      <c r="L89" s="85">
        <v>44562</v>
      </c>
      <c r="M89" s="85">
        <v>45291</v>
      </c>
    </row>
    <row r="90" spans="1:13" ht="240" x14ac:dyDescent="0.2">
      <c r="A90" s="65" t="s">
        <v>263</v>
      </c>
      <c r="B90" s="65" t="s">
        <v>72</v>
      </c>
      <c r="C90" s="62" t="s">
        <v>268</v>
      </c>
      <c r="D90" s="69">
        <v>378000</v>
      </c>
      <c r="E90" s="73">
        <f>Table819[[#This Row],[Total US$ ]]*$E$2</f>
        <v>6656580</v>
      </c>
      <c r="F90" s="65" t="s">
        <v>84</v>
      </c>
      <c r="G90" s="64" t="s">
        <v>366</v>
      </c>
      <c r="H90" s="64"/>
      <c r="I90" s="64"/>
      <c r="J90" s="84" t="s">
        <v>494</v>
      </c>
      <c r="K90" s="63" t="s">
        <v>335</v>
      </c>
      <c r="L90" s="86">
        <v>44927</v>
      </c>
      <c r="M90" s="86">
        <v>46387</v>
      </c>
    </row>
    <row r="91" spans="1:13" ht="144" x14ac:dyDescent="0.2">
      <c r="A91" s="65" t="s">
        <v>264</v>
      </c>
      <c r="B91" s="65" t="s">
        <v>72</v>
      </c>
      <c r="C91" s="62" t="s">
        <v>269</v>
      </c>
      <c r="D91" s="69">
        <v>237060.00000000003</v>
      </c>
      <c r="E91" s="73">
        <f>Table819[[#This Row],[Total US$ ]]*$E$2</f>
        <v>4174626.6000000006</v>
      </c>
      <c r="F91" s="65" t="s">
        <v>84</v>
      </c>
      <c r="G91" s="64" t="s">
        <v>367</v>
      </c>
      <c r="H91" s="64"/>
      <c r="I91" s="64"/>
      <c r="J91" s="84" t="s">
        <v>494</v>
      </c>
      <c r="K91" s="63" t="s">
        <v>336</v>
      </c>
      <c r="L91" s="85">
        <v>44927</v>
      </c>
      <c r="M91" s="85">
        <v>46387</v>
      </c>
    </row>
    <row r="92" spans="1:13" ht="112" x14ac:dyDescent="0.2">
      <c r="A92" s="65" t="s">
        <v>265</v>
      </c>
      <c r="B92" s="65" t="s">
        <v>72</v>
      </c>
      <c r="C92" s="62" t="s">
        <v>270</v>
      </c>
      <c r="D92" s="69">
        <v>226800.00000000003</v>
      </c>
      <c r="E92" s="73">
        <f>Table819[[#This Row],[Total US$ ]]*$E$2</f>
        <v>3993948.0000000005</v>
      </c>
      <c r="F92" s="65" t="s">
        <v>84</v>
      </c>
      <c r="G92" s="64" t="s">
        <v>368</v>
      </c>
      <c r="H92" s="64"/>
      <c r="I92" s="64"/>
      <c r="J92" s="84" t="s">
        <v>494</v>
      </c>
      <c r="K92" s="63" t="s">
        <v>337</v>
      </c>
      <c r="L92" s="85">
        <v>44927</v>
      </c>
      <c r="M92" s="85">
        <v>45657</v>
      </c>
    </row>
    <row r="93" spans="1:13" ht="192" x14ac:dyDescent="0.2">
      <c r="A93" s="65" t="s">
        <v>686</v>
      </c>
      <c r="B93" s="65" t="s">
        <v>73</v>
      </c>
      <c r="C93" s="62" t="s">
        <v>683</v>
      </c>
      <c r="D93" s="69">
        <v>128520.00000000001</v>
      </c>
      <c r="E93" s="73">
        <f>Table819[[#This Row],[Total US$ ]]*$E$2</f>
        <v>2263237.2000000002</v>
      </c>
      <c r="F93" s="65" t="s">
        <v>84</v>
      </c>
      <c r="G93" s="64" t="s">
        <v>684</v>
      </c>
      <c r="H93" s="64"/>
      <c r="I93" s="64"/>
      <c r="J93" s="84" t="s">
        <v>494</v>
      </c>
      <c r="K93" s="63" t="s">
        <v>685</v>
      </c>
      <c r="L93" s="86">
        <v>44927</v>
      </c>
      <c r="M93" s="86">
        <v>45808</v>
      </c>
    </row>
    <row r="94" spans="1:13" ht="304" x14ac:dyDescent="0.2">
      <c r="A94" s="65" t="s">
        <v>687</v>
      </c>
      <c r="B94" s="65" t="s">
        <v>73</v>
      </c>
      <c r="C94" s="62" t="s">
        <v>692</v>
      </c>
      <c r="D94" s="69">
        <v>34560</v>
      </c>
      <c r="E94" s="73">
        <f>Table819[[#This Row],[Total US$ ]]*$E$2</f>
        <v>608601.59999999998</v>
      </c>
      <c r="F94" s="65" t="s">
        <v>84</v>
      </c>
      <c r="G94" s="64" t="s">
        <v>697</v>
      </c>
      <c r="H94" s="64"/>
      <c r="I94" s="64"/>
      <c r="J94" s="84" t="s">
        <v>494</v>
      </c>
      <c r="K94" s="63" t="s">
        <v>706</v>
      </c>
      <c r="L94" s="86">
        <v>44927</v>
      </c>
      <c r="M94" s="86">
        <v>45808</v>
      </c>
    </row>
    <row r="95" spans="1:13" ht="96" x14ac:dyDescent="0.2">
      <c r="A95" s="65" t="s">
        <v>688</v>
      </c>
      <c r="B95" s="65" t="s">
        <v>72</v>
      </c>
      <c r="C95" s="62" t="s">
        <v>692</v>
      </c>
      <c r="D95" s="69">
        <v>75600</v>
      </c>
      <c r="E95" s="73">
        <f>Table819[[#This Row],[Total US$ ]]*$E$2</f>
        <v>1331316</v>
      </c>
      <c r="F95" s="65" t="s">
        <v>84</v>
      </c>
      <c r="G95" s="64" t="s">
        <v>698</v>
      </c>
      <c r="H95" s="64"/>
      <c r="I95" s="64"/>
      <c r="J95" s="84" t="s">
        <v>494</v>
      </c>
      <c r="K95" s="63" t="s">
        <v>707</v>
      </c>
      <c r="L95" s="86">
        <v>44927</v>
      </c>
      <c r="M95" s="86">
        <v>45808</v>
      </c>
    </row>
    <row r="96" spans="1:13" ht="32" x14ac:dyDescent="0.2">
      <c r="A96" s="65" t="s">
        <v>689</v>
      </c>
      <c r="B96" s="65" t="s">
        <v>468</v>
      </c>
      <c r="C96" s="62" t="s">
        <v>693</v>
      </c>
      <c r="D96" s="69">
        <v>216000</v>
      </c>
      <c r="E96" s="73">
        <f>Table819[[#This Row],[Total US$ ]]*$E$2</f>
        <v>3803760</v>
      </c>
      <c r="F96" s="65" t="s">
        <v>84</v>
      </c>
      <c r="G96" s="64" t="s">
        <v>37</v>
      </c>
      <c r="H96" s="64" t="s">
        <v>2</v>
      </c>
      <c r="I96" s="64"/>
      <c r="J96" s="84" t="s">
        <v>494</v>
      </c>
      <c r="K96" s="62" t="s">
        <v>708</v>
      </c>
      <c r="L96" s="86"/>
      <c r="M96" s="86"/>
    </row>
    <row r="97" spans="1:13" ht="48" x14ac:dyDescent="0.2">
      <c r="A97" s="65" t="s">
        <v>690</v>
      </c>
      <c r="B97" s="65" t="s">
        <v>72</v>
      </c>
      <c r="C97" s="62" t="s">
        <v>694</v>
      </c>
      <c r="D97" s="69">
        <v>97200</v>
      </c>
      <c r="E97" s="73">
        <f>Table819[[#This Row],[Total US$ ]]*$E$2</f>
        <v>1711692</v>
      </c>
      <c r="F97" s="65" t="s">
        <v>84</v>
      </c>
      <c r="G97" s="64" t="s">
        <v>699</v>
      </c>
      <c r="H97" s="64" t="s">
        <v>700</v>
      </c>
      <c r="I97" s="64" t="s">
        <v>701</v>
      </c>
      <c r="J97" s="84" t="s">
        <v>494</v>
      </c>
      <c r="K97" s="62" t="s">
        <v>709</v>
      </c>
      <c r="L97" s="86">
        <v>45539</v>
      </c>
      <c r="M97" s="86">
        <v>45962</v>
      </c>
    </row>
    <row r="98" spans="1:13" ht="32" x14ac:dyDescent="0.2">
      <c r="A98" s="65" t="s">
        <v>691</v>
      </c>
      <c r="B98" s="65" t="s">
        <v>73</v>
      </c>
      <c r="C98" s="62" t="s">
        <v>695</v>
      </c>
      <c r="D98" s="69">
        <v>216000</v>
      </c>
      <c r="E98" s="73">
        <f>Table819[[#This Row],[Total US$ ]]*$E$2</f>
        <v>3803760</v>
      </c>
      <c r="F98" s="65" t="s">
        <v>84</v>
      </c>
      <c r="G98" s="64" t="s">
        <v>702</v>
      </c>
      <c r="H98" s="64" t="s">
        <v>703</v>
      </c>
      <c r="I98" s="64" t="s">
        <v>703</v>
      </c>
      <c r="J98" s="84" t="s">
        <v>251</v>
      </c>
      <c r="K98" s="62" t="s">
        <v>710</v>
      </c>
      <c r="L98" s="86">
        <v>45597</v>
      </c>
      <c r="M98" s="86">
        <v>46692</v>
      </c>
    </row>
    <row r="99" spans="1:13" ht="48" x14ac:dyDescent="0.2">
      <c r="A99" s="65" t="s">
        <v>712</v>
      </c>
      <c r="B99" s="65" t="s">
        <v>73</v>
      </c>
      <c r="C99" s="62" t="s">
        <v>696</v>
      </c>
      <c r="D99" s="69">
        <v>54000</v>
      </c>
      <c r="E99" s="73">
        <f>Table819[[#This Row],[Total US$ ]]*$E$2</f>
        <v>950940</v>
      </c>
      <c r="F99" s="65" t="s">
        <v>84</v>
      </c>
      <c r="G99" s="64" t="s">
        <v>704</v>
      </c>
      <c r="H99" s="64" t="s">
        <v>705</v>
      </c>
      <c r="I99" s="64" t="s">
        <v>705</v>
      </c>
      <c r="J99" s="84" t="s">
        <v>251</v>
      </c>
      <c r="K99" s="63" t="s">
        <v>711</v>
      </c>
      <c r="L99" s="86">
        <v>44927</v>
      </c>
      <c r="M99" s="85">
        <v>46022</v>
      </c>
    </row>
    <row r="100" spans="1:13" ht="64" x14ac:dyDescent="0.2">
      <c r="A100" s="65" t="s">
        <v>197</v>
      </c>
      <c r="B100" s="65" t="s">
        <v>73</v>
      </c>
      <c r="C100" s="63" t="s">
        <v>9</v>
      </c>
      <c r="D100" s="69">
        <v>4000000</v>
      </c>
      <c r="E100" s="73">
        <f>Table819[[#This Row],[Total US$ ]]*$E$2</f>
        <v>70440000</v>
      </c>
      <c r="F100" s="65" t="s">
        <v>388</v>
      </c>
      <c r="G100" s="64"/>
      <c r="H100" s="64"/>
      <c r="I100" s="64"/>
      <c r="J100" s="115" t="s">
        <v>251</v>
      </c>
      <c r="K100" s="63" t="s">
        <v>436</v>
      </c>
      <c r="L100" s="85">
        <v>45170</v>
      </c>
      <c r="M100" s="85">
        <v>46752</v>
      </c>
    </row>
    <row r="101" spans="1:13" ht="48" x14ac:dyDescent="0.2">
      <c r="A101" s="65" t="s">
        <v>198</v>
      </c>
      <c r="B101" s="65" t="s">
        <v>73</v>
      </c>
      <c r="C101" s="63" t="s">
        <v>272</v>
      </c>
      <c r="D101" s="69">
        <v>5000000</v>
      </c>
      <c r="E101" s="73">
        <f>Table819[[#This Row],[Total US$ ]]*$E$2</f>
        <v>88050000</v>
      </c>
      <c r="F101" s="65" t="s">
        <v>388</v>
      </c>
      <c r="G101" s="64"/>
      <c r="H101" s="64"/>
      <c r="I101" s="64"/>
      <c r="J101" s="115" t="s">
        <v>251</v>
      </c>
      <c r="K101" s="63" t="s">
        <v>563</v>
      </c>
      <c r="L101" s="85">
        <v>45170</v>
      </c>
      <c r="M101" s="85">
        <v>47483</v>
      </c>
    </row>
    <row r="102" spans="1:13" ht="64" x14ac:dyDescent="0.2">
      <c r="A102" s="65" t="s">
        <v>199</v>
      </c>
      <c r="B102" s="65" t="s">
        <v>73</v>
      </c>
      <c r="C102" s="63" t="s">
        <v>273</v>
      </c>
      <c r="D102" s="69">
        <v>5000000</v>
      </c>
      <c r="E102" s="73">
        <f>Table819[[#This Row],[Total US$ ]]*$E$2</f>
        <v>88050000</v>
      </c>
      <c r="F102" s="65" t="s">
        <v>388</v>
      </c>
      <c r="G102" s="64"/>
      <c r="H102" s="64"/>
      <c r="I102" s="64"/>
      <c r="J102" s="115" t="s">
        <v>251</v>
      </c>
      <c r="K102" s="63" t="s">
        <v>437</v>
      </c>
      <c r="L102" s="85">
        <v>45170</v>
      </c>
      <c r="M102" s="85">
        <v>45656</v>
      </c>
    </row>
    <row r="103" spans="1:13" ht="64" x14ac:dyDescent="0.2">
      <c r="A103" s="65" t="s">
        <v>200</v>
      </c>
      <c r="B103" s="65" t="s">
        <v>73</v>
      </c>
      <c r="C103" s="63" t="s">
        <v>274</v>
      </c>
      <c r="D103" s="69">
        <v>15000000</v>
      </c>
      <c r="E103" s="73">
        <f>Table819[[#This Row],[Total US$ ]]*$E$2</f>
        <v>264150000</v>
      </c>
      <c r="F103" s="65" t="s">
        <v>388</v>
      </c>
      <c r="G103" s="64"/>
      <c r="H103" s="64"/>
      <c r="I103" s="64"/>
      <c r="J103" s="115" t="s">
        <v>494</v>
      </c>
      <c r="K103" s="63" t="s">
        <v>438</v>
      </c>
      <c r="L103" s="85">
        <v>45170</v>
      </c>
      <c r="M103" s="85">
        <v>45504</v>
      </c>
    </row>
    <row r="104" spans="1:13" ht="192" x14ac:dyDescent="0.2">
      <c r="A104" s="65" t="s">
        <v>201</v>
      </c>
      <c r="B104" s="65" t="s">
        <v>73</v>
      </c>
      <c r="C104" s="63" t="s">
        <v>275</v>
      </c>
      <c r="D104" s="69">
        <v>550000</v>
      </c>
      <c r="E104" s="73">
        <f>Table819[[#This Row],[Total US$ ]]*$E$2</f>
        <v>9685500</v>
      </c>
      <c r="F104" s="65" t="s">
        <v>388</v>
      </c>
      <c r="G104" s="64"/>
      <c r="H104" s="64"/>
      <c r="I104" s="64"/>
      <c r="J104" s="110" t="s">
        <v>495</v>
      </c>
      <c r="K104" s="63" t="s">
        <v>439</v>
      </c>
      <c r="L104" s="85">
        <v>45170</v>
      </c>
      <c r="M104" s="85">
        <v>45382</v>
      </c>
    </row>
    <row r="105" spans="1:13" ht="64" x14ac:dyDescent="0.2">
      <c r="A105" s="65" t="s">
        <v>202</v>
      </c>
      <c r="B105" s="65" t="s">
        <v>468</v>
      </c>
      <c r="C105" s="63" t="s">
        <v>276</v>
      </c>
      <c r="D105" s="69">
        <v>300000</v>
      </c>
      <c r="E105" s="73">
        <f>Table819[[#This Row],[Total US$ ]]*$E$2</f>
        <v>5283000</v>
      </c>
      <c r="F105" s="65" t="s">
        <v>388</v>
      </c>
      <c r="G105" s="64"/>
      <c r="H105" s="64"/>
      <c r="I105" s="64"/>
      <c r="J105" s="110" t="s">
        <v>495</v>
      </c>
      <c r="K105" s="63" t="s">
        <v>441</v>
      </c>
      <c r="L105" s="85">
        <v>45170</v>
      </c>
      <c r="M105" s="85">
        <v>45382</v>
      </c>
    </row>
    <row r="106" spans="1:13" ht="96" x14ac:dyDescent="0.2">
      <c r="A106" s="65" t="s">
        <v>203</v>
      </c>
      <c r="B106" s="65" t="s">
        <v>468</v>
      </c>
      <c r="C106" s="63" t="s">
        <v>3</v>
      </c>
      <c r="D106" s="69">
        <v>300000</v>
      </c>
      <c r="E106" s="73">
        <f>Table819[[#This Row],[Total US$ ]]*$E$2</f>
        <v>5283000</v>
      </c>
      <c r="F106" s="65" t="s">
        <v>388</v>
      </c>
      <c r="G106" s="64"/>
      <c r="H106" s="64"/>
      <c r="I106" s="64"/>
      <c r="J106" s="110" t="s">
        <v>495</v>
      </c>
      <c r="K106" s="63" t="s">
        <v>442</v>
      </c>
      <c r="L106" s="85">
        <v>45170</v>
      </c>
      <c r="M106" s="85">
        <v>45382</v>
      </c>
    </row>
    <row r="107" spans="1:13" ht="64" x14ac:dyDescent="0.2">
      <c r="A107" s="65" t="s">
        <v>204</v>
      </c>
      <c r="B107" s="65" t="s">
        <v>468</v>
      </c>
      <c r="C107" s="63" t="s">
        <v>277</v>
      </c>
      <c r="D107" s="69">
        <v>300000</v>
      </c>
      <c r="E107" s="73">
        <f>Table819[[#This Row],[Total US$ ]]*$E$2</f>
        <v>5283000</v>
      </c>
      <c r="F107" s="65" t="s">
        <v>388</v>
      </c>
      <c r="G107" s="64"/>
      <c r="H107" s="64"/>
      <c r="I107" s="64"/>
      <c r="J107" s="110" t="s">
        <v>495</v>
      </c>
      <c r="K107" s="63" t="s">
        <v>443</v>
      </c>
      <c r="L107" s="85">
        <v>45170</v>
      </c>
      <c r="M107" s="85">
        <v>45016</v>
      </c>
    </row>
    <row r="108" spans="1:13" ht="112" x14ac:dyDescent="0.2">
      <c r="A108" s="65" t="s">
        <v>205</v>
      </c>
      <c r="B108" s="65" t="s">
        <v>56</v>
      </c>
      <c r="C108" s="63" t="s">
        <v>278</v>
      </c>
      <c r="D108" s="69">
        <v>300000</v>
      </c>
      <c r="E108" s="73">
        <f>Table819[[#This Row],[Total US$ ]]*$E$2</f>
        <v>5283000</v>
      </c>
      <c r="F108" s="65" t="s">
        <v>388</v>
      </c>
      <c r="G108" s="64"/>
      <c r="H108" s="64"/>
      <c r="I108" s="64"/>
      <c r="J108" s="110" t="s">
        <v>495</v>
      </c>
      <c r="K108" s="63" t="s">
        <v>444</v>
      </c>
      <c r="L108" s="85">
        <v>45170</v>
      </c>
      <c r="M108" s="85">
        <v>45107</v>
      </c>
    </row>
    <row r="109" spans="1:13" ht="64" x14ac:dyDescent="0.2">
      <c r="A109" s="65" t="s">
        <v>206</v>
      </c>
      <c r="B109" s="65" t="s">
        <v>56</v>
      </c>
      <c r="C109" s="63" t="s">
        <v>279</v>
      </c>
      <c r="D109" s="69">
        <v>300000</v>
      </c>
      <c r="E109" s="73">
        <f>Table819[[#This Row],[Total US$ ]]*$E$2</f>
        <v>5283000</v>
      </c>
      <c r="F109" s="65" t="s">
        <v>388</v>
      </c>
      <c r="G109" s="64"/>
      <c r="H109" s="64"/>
      <c r="I109" s="64"/>
      <c r="J109" s="110" t="s">
        <v>495</v>
      </c>
      <c r="K109" s="63" t="s">
        <v>445</v>
      </c>
      <c r="L109" s="85">
        <v>45170</v>
      </c>
      <c r="M109" s="85">
        <v>45381</v>
      </c>
    </row>
    <row r="110" spans="1:13" ht="96" x14ac:dyDescent="0.2">
      <c r="A110" s="65" t="s">
        <v>207</v>
      </c>
      <c r="B110" s="65" t="s">
        <v>468</v>
      </c>
      <c r="C110" s="63" t="s">
        <v>3</v>
      </c>
      <c r="D110" s="69">
        <v>250000</v>
      </c>
      <c r="E110" s="73">
        <f>Table819[[#This Row],[Total US$ ]]*$E$2</f>
        <v>4402500</v>
      </c>
      <c r="F110" s="65" t="s">
        <v>388</v>
      </c>
      <c r="G110" s="64" t="s">
        <v>283</v>
      </c>
      <c r="H110" s="64"/>
      <c r="I110" s="64"/>
      <c r="J110" s="110" t="s">
        <v>494</v>
      </c>
      <c r="K110" s="63" t="s">
        <v>446</v>
      </c>
      <c r="L110" s="85">
        <v>45170</v>
      </c>
      <c r="M110" s="85">
        <v>45504</v>
      </c>
    </row>
    <row r="111" spans="1:13" ht="240" x14ac:dyDescent="0.2">
      <c r="A111" s="65" t="s">
        <v>208</v>
      </c>
      <c r="B111" s="65" t="s">
        <v>468</v>
      </c>
      <c r="C111" s="63" t="s">
        <v>3</v>
      </c>
      <c r="D111" s="69">
        <v>1364834</v>
      </c>
      <c r="E111" s="73">
        <f>Table819[[#This Row],[Total US$ ]]*$E$2</f>
        <v>24034726.739999998</v>
      </c>
      <c r="F111" s="65" t="s">
        <v>388</v>
      </c>
      <c r="G111" s="64" t="s">
        <v>50</v>
      </c>
      <c r="H111" s="64"/>
      <c r="I111" s="64"/>
      <c r="J111" s="110" t="s">
        <v>494</v>
      </c>
      <c r="K111" s="63" t="s">
        <v>476</v>
      </c>
      <c r="L111" s="85">
        <v>45108</v>
      </c>
      <c r="M111" s="85">
        <v>46579</v>
      </c>
    </row>
    <row r="112" spans="1:13" ht="192" x14ac:dyDescent="0.2">
      <c r="A112" s="65" t="s">
        <v>209</v>
      </c>
      <c r="B112" s="65" t="s">
        <v>468</v>
      </c>
      <c r="C112" s="63" t="s">
        <v>280</v>
      </c>
      <c r="D112" s="69">
        <v>8635166</v>
      </c>
      <c r="E112" s="73">
        <f>Table819[[#This Row],[Total US$ ]]*$E$2</f>
        <v>152065273.25999999</v>
      </c>
      <c r="F112" s="65" t="s">
        <v>388</v>
      </c>
      <c r="G112" s="64"/>
      <c r="H112" s="64"/>
      <c r="I112" s="64"/>
      <c r="J112" s="110" t="s">
        <v>251</v>
      </c>
      <c r="K112" s="63" t="s">
        <v>477</v>
      </c>
      <c r="L112" s="85">
        <v>44501</v>
      </c>
      <c r="M112" s="85">
        <v>46692</v>
      </c>
    </row>
    <row r="113" spans="1:13" ht="176" x14ac:dyDescent="0.2">
      <c r="A113" s="65" t="s">
        <v>210</v>
      </c>
      <c r="B113" s="65" t="s">
        <v>468</v>
      </c>
      <c r="C113" s="63"/>
      <c r="D113" s="69">
        <v>974746</v>
      </c>
      <c r="E113" s="73">
        <f>Table819[[#This Row],[Total US$ ]]*$E$2</f>
        <v>17165277.059999999</v>
      </c>
      <c r="F113" s="65" t="s">
        <v>388</v>
      </c>
      <c r="G113" s="64"/>
      <c r="H113" s="64"/>
      <c r="I113" s="64"/>
      <c r="J113" s="110" t="s">
        <v>494</v>
      </c>
      <c r="K113" s="63" t="s">
        <v>478</v>
      </c>
      <c r="L113" s="85">
        <v>44743</v>
      </c>
      <c r="M113" s="85">
        <v>46660</v>
      </c>
    </row>
    <row r="114" spans="1:13" ht="32" x14ac:dyDescent="0.2">
      <c r="A114" s="65" t="s">
        <v>211</v>
      </c>
      <c r="B114" s="65" t="s">
        <v>73</v>
      </c>
      <c r="C114" s="63" t="s">
        <v>14</v>
      </c>
      <c r="D114" s="69">
        <v>4000000</v>
      </c>
      <c r="E114" s="73">
        <f>Table819[[#This Row],[Total US$ ]]*$E$2</f>
        <v>70440000</v>
      </c>
      <c r="F114" s="65" t="s">
        <v>388</v>
      </c>
      <c r="G114" s="64" t="s">
        <v>369</v>
      </c>
      <c r="H114" s="64"/>
      <c r="I114" s="64"/>
      <c r="J114" s="110" t="s">
        <v>494</v>
      </c>
      <c r="K114" s="89" t="s">
        <v>479</v>
      </c>
      <c r="L114" s="85">
        <v>44928</v>
      </c>
      <c r="M114" s="85">
        <v>46752</v>
      </c>
    </row>
    <row r="115" spans="1:13" ht="32" x14ac:dyDescent="0.2">
      <c r="A115" s="65" t="s">
        <v>212</v>
      </c>
      <c r="B115" s="65" t="s">
        <v>56</v>
      </c>
      <c r="C115" s="63" t="s">
        <v>19</v>
      </c>
      <c r="D115" s="69">
        <v>100000</v>
      </c>
      <c r="E115" s="73">
        <f>Table819[[#This Row],[Total US$ ]]*$E$2</f>
        <v>1761000</v>
      </c>
      <c r="F115" s="65" t="s">
        <v>388</v>
      </c>
      <c r="G115" s="64" t="s">
        <v>370</v>
      </c>
      <c r="H115" s="64"/>
      <c r="I115" s="64"/>
      <c r="J115" s="110" t="s">
        <v>495</v>
      </c>
      <c r="K115" s="88" t="s">
        <v>20</v>
      </c>
      <c r="L115" s="85">
        <v>44562</v>
      </c>
      <c r="M115" s="85">
        <v>44926</v>
      </c>
    </row>
    <row r="116" spans="1:13" ht="32" x14ac:dyDescent="0.2">
      <c r="A116" s="65" t="s">
        <v>213</v>
      </c>
      <c r="B116" s="65" t="s">
        <v>70</v>
      </c>
      <c r="C116" s="63" t="s">
        <v>79</v>
      </c>
      <c r="D116" s="69">
        <v>51420</v>
      </c>
      <c r="E116" s="73">
        <f>Table819[[#This Row],[Total US$ ]]*$E$2</f>
        <v>905506.2</v>
      </c>
      <c r="F116" s="65" t="s">
        <v>388</v>
      </c>
      <c r="G116" s="64" t="s">
        <v>371</v>
      </c>
      <c r="H116" s="64"/>
      <c r="I116" s="64"/>
      <c r="J116" s="110" t="s">
        <v>495</v>
      </c>
      <c r="K116" s="88" t="s">
        <v>281</v>
      </c>
      <c r="L116" s="86">
        <v>45019</v>
      </c>
      <c r="M116" s="86">
        <v>45380</v>
      </c>
    </row>
    <row r="117" spans="1:13" ht="32" x14ac:dyDescent="0.2">
      <c r="A117" s="65" t="s">
        <v>214</v>
      </c>
      <c r="B117" s="65" t="s">
        <v>72</v>
      </c>
      <c r="C117" s="63" t="s">
        <v>32</v>
      </c>
      <c r="D117" s="69">
        <v>500000</v>
      </c>
      <c r="E117" s="73">
        <f>Table819[[#This Row],[Total US$ ]]*$E$2</f>
        <v>8805000</v>
      </c>
      <c r="F117" s="65" t="s">
        <v>388</v>
      </c>
      <c r="G117" s="64" t="s">
        <v>372</v>
      </c>
      <c r="H117" s="64"/>
      <c r="I117" s="64"/>
      <c r="J117" s="110" t="s">
        <v>494</v>
      </c>
      <c r="K117" s="88" t="s">
        <v>282</v>
      </c>
      <c r="L117" s="85">
        <v>44562</v>
      </c>
      <c r="M117" s="85">
        <v>46022</v>
      </c>
    </row>
    <row r="118" spans="1:13" ht="32" x14ac:dyDescent="0.2">
      <c r="A118" s="65" t="s">
        <v>215</v>
      </c>
      <c r="B118" s="65" t="s">
        <v>468</v>
      </c>
      <c r="C118" s="63" t="s">
        <v>7</v>
      </c>
      <c r="D118" s="69">
        <v>580000</v>
      </c>
      <c r="E118" s="73">
        <f>Table819[[#This Row],[Total US$ ]]*$E$2</f>
        <v>10213800</v>
      </c>
      <c r="F118" s="65" t="s">
        <v>388</v>
      </c>
      <c r="G118" s="64"/>
      <c r="H118" s="64"/>
      <c r="I118" s="64"/>
      <c r="J118" s="110" t="s">
        <v>495</v>
      </c>
      <c r="K118" s="63" t="s">
        <v>480</v>
      </c>
      <c r="L118" s="86">
        <v>44958</v>
      </c>
      <c r="M118" s="86">
        <v>45169</v>
      </c>
    </row>
    <row r="119" spans="1:13" ht="64" x14ac:dyDescent="0.2">
      <c r="A119" s="65" t="s">
        <v>216</v>
      </c>
      <c r="B119" s="65" t="s">
        <v>468</v>
      </c>
      <c r="C119" s="63" t="s">
        <v>3</v>
      </c>
      <c r="D119" s="69">
        <v>117637</v>
      </c>
      <c r="E119" s="73">
        <f>Table819[[#This Row],[Total US$ ]]*$E$2</f>
        <v>2071587.5699999998</v>
      </c>
      <c r="F119" s="65" t="s">
        <v>388</v>
      </c>
      <c r="G119" s="101" t="s">
        <v>284</v>
      </c>
      <c r="H119" s="101"/>
      <c r="I119" s="101"/>
      <c r="J119" s="110" t="s">
        <v>494</v>
      </c>
      <c r="K119" s="63" t="s">
        <v>481</v>
      </c>
      <c r="L119" s="85">
        <v>45019</v>
      </c>
      <c r="M119" s="85">
        <v>45930</v>
      </c>
    </row>
    <row r="120" spans="1:13" ht="64" x14ac:dyDescent="0.2">
      <c r="A120" s="65" t="s">
        <v>217</v>
      </c>
      <c r="B120" s="65" t="s">
        <v>468</v>
      </c>
      <c r="C120" s="63" t="s">
        <v>67</v>
      </c>
      <c r="D120" s="69">
        <v>544291</v>
      </c>
      <c r="E120" s="73">
        <f>Table819[[#This Row],[Total US$ ]]*$E$2</f>
        <v>9584964.5099999998</v>
      </c>
      <c r="F120" s="65" t="s">
        <v>388</v>
      </c>
      <c r="G120" s="64"/>
      <c r="H120" s="64"/>
      <c r="I120" s="64"/>
      <c r="J120" s="110" t="s">
        <v>495</v>
      </c>
      <c r="K120" s="63" t="s">
        <v>482</v>
      </c>
      <c r="L120" s="85">
        <v>44501</v>
      </c>
      <c r="M120" s="85">
        <v>45381</v>
      </c>
    </row>
    <row r="121" spans="1:13" ht="64" x14ac:dyDescent="0.2">
      <c r="A121" s="65" t="s">
        <v>218</v>
      </c>
      <c r="B121" s="65" t="s">
        <v>468</v>
      </c>
      <c r="C121" s="63" t="s">
        <v>5</v>
      </c>
      <c r="D121" s="69">
        <v>82331</v>
      </c>
      <c r="E121" s="73">
        <f>Table819[[#This Row],[Total US$ ]]*$E$2</f>
        <v>1449848.91</v>
      </c>
      <c r="F121" s="65" t="s">
        <v>388</v>
      </c>
      <c r="G121" s="76"/>
      <c r="H121" s="76"/>
      <c r="I121" s="76"/>
      <c r="J121" s="110" t="s">
        <v>495</v>
      </c>
      <c r="K121" s="63" t="s">
        <v>483</v>
      </c>
      <c r="L121" s="85">
        <v>44501</v>
      </c>
      <c r="M121" s="85">
        <v>45381</v>
      </c>
    </row>
    <row r="122" spans="1:13" ht="80" x14ac:dyDescent="0.2">
      <c r="A122" s="65" t="s">
        <v>219</v>
      </c>
      <c r="B122" s="65" t="s">
        <v>56</v>
      </c>
      <c r="C122" s="63" t="s">
        <v>12</v>
      </c>
      <c r="D122" s="69">
        <v>289656</v>
      </c>
      <c r="E122" s="73">
        <f>Table819[[#This Row],[Total US$ ]]*$E$2</f>
        <v>5100842.16</v>
      </c>
      <c r="F122" s="65" t="s">
        <v>388</v>
      </c>
      <c r="G122" s="101" t="s">
        <v>285</v>
      </c>
      <c r="H122" s="101"/>
      <c r="I122" s="101"/>
      <c r="J122" s="110" t="s">
        <v>495</v>
      </c>
      <c r="K122" s="63" t="s">
        <v>484</v>
      </c>
      <c r="L122" s="85">
        <v>44743</v>
      </c>
      <c r="M122" s="85">
        <v>45382</v>
      </c>
    </row>
    <row r="123" spans="1:13" ht="32" x14ac:dyDescent="0.2">
      <c r="A123" s="65" t="s">
        <v>220</v>
      </c>
      <c r="B123" s="65" t="s">
        <v>56</v>
      </c>
      <c r="C123" s="63" t="s">
        <v>17</v>
      </c>
      <c r="D123" s="69">
        <v>38718</v>
      </c>
      <c r="E123" s="73">
        <f>Table819[[#This Row],[Total US$ ]]*$E$2</f>
        <v>681823.98</v>
      </c>
      <c r="F123" s="65" t="s">
        <v>388</v>
      </c>
      <c r="G123" s="101" t="s">
        <v>56</v>
      </c>
      <c r="H123" s="101"/>
      <c r="I123" s="101"/>
      <c r="J123" s="110" t="s">
        <v>495</v>
      </c>
      <c r="K123" s="63" t="s">
        <v>485</v>
      </c>
      <c r="L123" s="85">
        <v>44986</v>
      </c>
      <c r="M123" s="85">
        <v>45382</v>
      </c>
    </row>
    <row r="124" spans="1:13" ht="80" x14ac:dyDescent="0.2">
      <c r="A124" s="65" t="s">
        <v>221</v>
      </c>
      <c r="B124" s="65" t="s">
        <v>56</v>
      </c>
      <c r="C124" s="63" t="s">
        <v>18</v>
      </c>
      <c r="D124" s="69">
        <v>579075</v>
      </c>
      <c r="E124" s="73">
        <f>Table819[[#This Row],[Total US$ ]]*$E$2</f>
        <v>10197510.75</v>
      </c>
      <c r="F124" s="65" t="s">
        <v>388</v>
      </c>
      <c r="G124" s="101" t="s">
        <v>286</v>
      </c>
      <c r="H124" s="101"/>
      <c r="I124" s="101"/>
      <c r="J124" s="110" t="s">
        <v>495</v>
      </c>
      <c r="K124" s="63" t="s">
        <v>486</v>
      </c>
      <c r="L124" s="85">
        <v>44501</v>
      </c>
      <c r="M124" s="85">
        <v>45380</v>
      </c>
    </row>
    <row r="125" spans="1:13" ht="176" x14ac:dyDescent="0.2">
      <c r="A125" s="65" t="s">
        <v>222</v>
      </c>
      <c r="B125" s="65" t="s">
        <v>56</v>
      </c>
      <c r="C125" s="63" t="s">
        <v>22</v>
      </c>
      <c r="D125" s="69">
        <v>1746097</v>
      </c>
      <c r="E125" s="73">
        <f>Table819[[#This Row],[Total US$ ]]*$E$2</f>
        <v>30748768.169999998</v>
      </c>
      <c r="F125" s="65" t="s">
        <v>388</v>
      </c>
      <c r="G125" s="64"/>
      <c r="H125" s="64"/>
      <c r="I125" s="64"/>
      <c r="J125" s="110" t="s">
        <v>495</v>
      </c>
      <c r="K125" s="63" t="s">
        <v>487</v>
      </c>
      <c r="L125" s="85">
        <v>44501</v>
      </c>
      <c r="M125" s="85">
        <v>45381</v>
      </c>
    </row>
    <row r="126" spans="1:13" ht="112" x14ac:dyDescent="0.2">
      <c r="A126" s="65" t="s">
        <v>223</v>
      </c>
      <c r="B126" s="65" t="s">
        <v>56</v>
      </c>
      <c r="C126" s="63" t="s">
        <v>22</v>
      </c>
      <c r="D126" s="69">
        <v>227368</v>
      </c>
      <c r="E126" s="73">
        <f>Table819[[#This Row],[Total US$ ]]*$E$2</f>
        <v>4003950.48</v>
      </c>
      <c r="F126" s="65" t="s">
        <v>388</v>
      </c>
      <c r="G126" s="101" t="s">
        <v>26</v>
      </c>
      <c r="H126" s="101"/>
      <c r="I126" s="101"/>
      <c r="J126" s="110" t="s">
        <v>495</v>
      </c>
      <c r="K126" s="63" t="s">
        <v>488</v>
      </c>
      <c r="L126" s="85">
        <v>44501</v>
      </c>
      <c r="M126" s="85">
        <v>45016</v>
      </c>
    </row>
    <row r="127" spans="1:13" ht="16" x14ac:dyDescent="0.2">
      <c r="A127" s="65" t="s">
        <v>224</v>
      </c>
      <c r="B127" s="65" t="s">
        <v>56</v>
      </c>
      <c r="C127" s="63" t="s">
        <v>23</v>
      </c>
      <c r="D127" s="69">
        <v>9219</v>
      </c>
      <c r="E127" s="73">
        <f>Table819[[#This Row],[Total US$ ]]*$E$2</f>
        <v>162346.59</v>
      </c>
      <c r="F127" s="65" t="s">
        <v>388</v>
      </c>
      <c r="G127" s="101" t="s">
        <v>56</v>
      </c>
      <c r="H127" s="101"/>
      <c r="I127" s="101"/>
      <c r="J127" s="110" t="s">
        <v>495</v>
      </c>
      <c r="K127" s="88" t="s">
        <v>24</v>
      </c>
      <c r="L127" s="85">
        <v>44958</v>
      </c>
      <c r="M127" s="85">
        <v>45380</v>
      </c>
    </row>
    <row r="128" spans="1:13" ht="32" x14ac:dyDescent="0.2">
      <c r="A128" s="65" t="s">
        <v>225</v>
      </c>
      <c r="B128" s="65" t="s">
        <v>56</v>
      </c>
      <c r="C128" s="63" t="s">
        <v>278</v>
      </c>
      <c r="D128" s="69">
        <v>210699</v>
      </c>
      <c r="E128" s="73">
        <f>Table819[[#This Row],[Total US$ ]]*$E$2</f>
        <v>3710409.3899999997</v>
      </c>
      <c r="F128" s="65" t="s">
        <v>388</v>
      </c>
      <c r="G128" s="101" t="s">
        <v>56</v>
      </c>
      <c r="H128" s="101"/>
      <c r="I128" s="101"/>
      <c r="J128" s="110" t="s">
        <v>495</v>
      </c>
      <c r="K128" s="63" t="s">
        <v>489</v>
      </c>
      <c r="L128" s="85">
        <v>44837</v>
      </c>
      <c r="M128" s="85">
        <v>45016</v>
      </c>
    </row>
    <row r="129" spans="1:13" ht="32" x14ac:dyDescent="0.2">
      <c r="A129" s="65" t="s">
        <v>226</v>
      </c>
      <c r="B129" s="65" t="s">
        <v>72</v>
      </c>
      <c r="C129" s="63" t="s">
        <v>31</v>
      </c>
      <c r="D129" s="69">
        <v>449743</v>
      </c>
      <c r="E129" s="73">
        <f>Table819[[#This Row],[Total US$ ]]*$E$2</f>
        <v>7919974.2299999995</v>
      </c>
      <c r="F129" s="65" t="s">
        <v>388</v>
      </c>
      <c r="G129" s="94" t="s">
        <v>57</v>
      </c>
      <c r="H129" s="94"/>
      <c r="I129" s="94"/>
      <c r="J129" s="110" t="s">
        <v>495</v>
      </c>
      <c r="K129" s="63" t="s">
        <v>490</v>
      </c>
      <c r="L129" s="85">
        <v>44621</v>
      </c>
      <c r="M129" s="85">
        <v>45384</v>
      </c>
    </row>
    <row r="130" spans="1:13" ht="32" x14ac:dyDescent="0.2">
      <c r="A130" s="65" t="s">
        <v>227</v>
      </c>
      <c r="B130" s="65" t="s">
        <v>72</v>
      </c>
      <c r="C130" s="63" t="s">
        <v>272</v>
      </c>
      <c r="D130" s="69">
        <v>1617041</v>
      </c>
      <c r="E130" s="73">
        <f>Table819[[#This Row],[Total US$ ]]*$E$2</f>
        <v>28476092.009999998</v>
      </c>
      <c r="F130" s="65" t="s">
        <v>388</v>
      </c>
      <c r="G130" s="64"/>
      <c r="H130" s="64"/>
      <c r="I130" s="64"/>
      <c r="J130" s="110" t="s">
        <v>495</v>
      </c>
      <c r="K130" s="63" t="s">
        <v>491</v>
      </c>
      <c r="L130" s="85">
        <v>44621</v>
      </c>
      <c r="M130" s="85">
        <v>45384</v>
      </c>
    </row>
    <row r="131" spans="1:13" ht="128" x14ac:dyDescent="0.2">
      <c r="A131" s="65" t="s">
        <v>228</v>
      </c>
      <c r="B131" s="65" t="s">
        <v>56</v>
      </c>
      <c r="C131" s="63" t="s">
        <v>274</v>
      </c>
      <c r="D131" s="69">
        <v>286850</v>
      </c>
      <c r="E131" s="73">
        <f>Table819[[#This Row],[Total US$ ]]*$E$2</f>
        <v>5051428.5</v>
      </c>
      <c r="F131" s="65" t="s">
        <v>388</v>
      </c>
      <c r="G131" s="64"/>
      <c r="H131" s="64"/>
      <c r="I131" s="64"/>
      <c r="J131" s="110" t="s">
        <v>495</v>
      </c>
      <c r="K131" s="63" t="s">
        <v>492</v>
      </c>
      <c r="L131" s="85">
        <v>44986</v>
      </c>
      <c r="M131" s="85">
        <v>45381</v>
      </c>
    </row>
    <row r="132" spans="1:13" ht="192" x14ac:dyDescent="0.2">
      <c r="A132" s="65" t="s">
        <v>229</v>
      </c>
      <c r="B132" s="65" t="s">
        <v>468</v>
      </c>
      <c r="C132" s="63" t="s">
        <v>67</v>
      </c>
      <c r="D132" s="69">
        <v>550000</v>
      </c>
      <c r="E132" s="73">
        <f>Table819[[#This Row],[Total US$ ]]*$E$2</f>
        <v>9685500</v>
      </c>
      <c r="F132" s="65" t="s">
        <v>388</v>
      </c>
      <c r="G132" s="64" t="s">
        <v>373</v>
      </c>
      <c r="H132" s="64"/>
      <c r="I132" s="64"/>
      <c r="J132" s="110" t="s">
        <v>495</v>
      </c>
      <c r="K132" s="63" t="s">
        <v>493</v>
      </c>
      <c r="L132" s="85">
        <v>44562</v>
      </c>
      <c r="M132" s="85">
        <v>45657</v>
      </c>
    </row>
    <row r="133" spans="1:13" ht="288" x14ac:dyDescent="0.2">
      <c r="A133" s="65" t="s">
        <v>432</v>
      </c>
      <c r="B133" s="65" t="s">
        <v>72</v>
      </c>
      <c r="C133" s="63" t="s">
        <v>22</v>
      </c>
      <c r="D133" s="69">
        <v>81507</v>
      </c>
      <c r="E133" s="73">
        <f>Table819[[#This Row],[Total US$ ]]*$E$2</f>
        <v>1435338.27</v>
      </c>
      <c r="F133" s="65" t="s">
        <v>388</v>
      </c>
      <c r="G133" s="64" t="s">
        <v>435</v>
      </c>
      <c r="H133" s="64"/>
      <c r="I133" s="64"/>
      <c r="J133" s="110" t="s">
        <v>495</v>
      </c>
      <c r="K133" s="63" t="s">
        <v>503</v>
      </c>
      <c r="L133" s="85">
        <v>44928</v>
      </c>
      <c r="M133" s="85">
        <v>45657</v>
      </c>
    </row>
    <row r="134" spans="1:13" s="34" customFormat="1" ht="96" x14ac:dyDescent="0.2">
      <c r="A134" s="65" t="s">
        <v>677</v>
      </c>
      <c r="B134" s="65" t="s">
        <v>72</v>
      </c>
      <c r="C134" s="63" t="s">
        <v>72</v>
      </c>
      <c r="D134" s="68">
        <v>1400000</v>
      </c>
      <c r="E134" s="73">
        <f>Table819[[#This Row],[Total US$ ]]*$E$2</f>
        <v>24654000</v>
      </c>
      <c r="F134" s="65" t="s">
        <v>388</v>
      </c>
      <c r="G134" s="64" t="s">
        <v>678</v>
      </c>
      <c r="H134" s="76"/>
      <c r="I134" s="76" t="s">
        <v>679</v>
      </c>
      <c r="J134" s="84" t="s">
        <v>494</v>
      </c>
      <c r="K134" s="63" t="s">
        <v>680</v>
      </c>
      <c r="L134" s="85">
        <v>45569</v>
      </c>
      <c r="M134" s="85">
        <v>45930</v>
      </c>
    </row>
    <row r="135" spans="1:13" ht="96" x14ac:dyDescent="0.2">
      <c r="A135" s="65" t="s">
        <v>190</v>
      </c>
      <c r="B135" s="65" t="s">
        <v>72</v>
      </c>
      <c r="C135" s="63" t="s">
        <v>32</v>
      </c>
      <c r="D135" s="69">
        <v>2280000</v>
      </c>
      <c r="E135" s="73">
        <f>Table819[[#This Row],[Total US$ ]]*$E$2</f>
        <v>40150800</v>
      </c>
      <c r="F135" s="65" t="s">
        <v>100</v>
      </c>
      <c r="G135" s="76" t="s">
        <v>374</v>
      </c>
      <c r="H135" s="76"/>
      <c r="I135" s="76"/>
      <c r="J135" s="110" t="s">
        <v>495</v>
      </c>
      <c r="K135" s="63" t="s">
        <v>338</v>
      </c>
      <c r="L135" s="86">
        <v>44501</v>
      </c>
      <c r="M135" s="86">
        <v>44561</v>
      </c>
    </row>
    <row r="136" spans="1:13" ht="16" x14ac:dyDescent="0.2">
      <c r="A136" s="65" t="s">
        <v>191</v>
      </c>
      <c r="B136" s="65" t="s">
        <v>73</v>
      </c>
      <c r="C136" s="63"/>
      <c r="D136" s="69">
        <v>47720000</v>
      </c>
      <c r="E136" s="73">
        <f>Table819[[#This Row],[Total US$ ]]*$E$2</f>
        <v>840349200</v>
      </c>
      <c r="F136" s="65" t="s">
        <v>100</v>
      </c>
      <c r="G136" s="76"/>
      <c r="H136" s="76"/>
      <c r="I136" s="76"/>
      <c r="J136" s="110" t="s">
        <v>251</v>
      </c>
      <c r="K136" s="63"/>
      <c r="L136" s="85">
        <v>44927</v>
      </c>
      <c r="M136" s="85">
        <v>46752</v>
      </c>
    </row>
    <row r="137" spans="1:13" ht="112" x14ac:dyDescent="0.2">
      <c r="A137" s="65" t="s">
        <v>177</v>
      </c>
      <c r="B137" s="65" t="s">
        <v>468</v>
      </c>
      <c r="C137" s="63" t="s">
        <v>3</v>
      </c>
      <c r="D137" s="69">
        <v>2719500</v>
      </c>
      <c r="E137" s="73">
        <f>Table819[[#This Row],[Total US$ ]]*$E$2</f>
        <v>47890395</v>
      </c>
      <c r="F137" s="65" t="s">
        <v>86</v>
      </c>
      <c r="G137" s="63" t="s">
        <v>510</v>
      </c>
      <c r="H137" s="63" t="s">
        <v>510</v>
      </c>
      <c r="I137" s="63" t="s">
        <v>567</v>
      </c>
      <c r="J137" s="110" t="s">
        <v>494</v>
      </c>
      <c r="K137" s="63" t="s">
        <v>749</v>
      </c>
      <c r="L137" s="85">
        <v>44501</v>
      </c>
      <c r="M137" s="85">
        <v>46112</v>
      </c>
    </row>
    <row r="138" spans="1:13" ht="112" x14ac:dyDescent="0.2">
      <c r="A138" s="65" t="s">
        <v>178</v>
      </c>
      <c r="B138" s="65" t="s">
        <v>468</v>
      </c>
      <c r="C138" s="63" t="s">
        <v>4</v>
      </c>
      <c r="D138" s="69">
        <v>3323850</v>
      </c>
      <c r="E138" s="73">
        <f>Table819[[#This Row],[Total US$ ]]*$E$2</f>
        <v>58532998.5</v>
      </c>
      <c r="F138" s="65" t="s">
        <v>86</v>
      </c>
      <c r="G138" s="63" t="s">
        <v>511</v>
      </c>
      <c r="H138" s="63" t="s">
        <v>510</v>
      </c>
      <c r="I138" s="63" t="s">
        <v>567</v>
      </c>
      <c r="J138" s="110" t="s">
        <v>494</v>
      </c>
      <c r="K138" s="63" t="s">
        <v>750</v>
      </c>
      <c r="L138" s="85">
        <v>44501</v>
      </c>
      <c r="M138" s="85">
        <v>46112</v>
      </c>
    </row>
    <row r="139" spans="1:13" ht="64" x14ac:dyDescent="0.2">
      <c r="A139" s="65" t="s">
        <v>179</v>
      </c>
      <c r="B139" s="65" t="s">
        <v>73</v>
      </c>
      <c r="C139" s="63" t="s">
        <v>8</v>
      </c>
      <c r="D139" s="69">
        <v>163050</v>
      </c>
      <c r="E139" s="73">
        <f>Table819[[#This Row],[Total US$ ]]*$E$2</f>
        <v>2871310.5</v>
      </c>
      <c r="F139" s="65" t="s">
        <v>86</v>
      </c>
      <c r="G139" s="63" t="s">
        <v>568</v>
      </c>
      <c r="H139" s="63" t="s">
        <v>568</v>
      </c>
      <c r="I139" s="63" t="s">
        <v>569</v>
      </c>
      <c r="J139" s="110" t="s">
        <v>494</v>
      </c>
      <c r="K139" s="169" t="s">
        <v>805</v>
      </c>
      <c r="L139" s="85">
        <v>44845</v>
      </c>
      <c r="M139" s="85">
        <v>45657</v>
      </c>
    </row>
    <row r="140" spans="1:13" ht="80" x14ac:dyDescent="0.2">
      <c r="A140" s="65" t="s">
        <v>180</v>
      </c>
      <c r="B140" s="65" t="s">
        <v>73</v>
      </c>
      <c r="C140" s="63" t="s">
        <v>8</v>
      </c>
      <c r="D140" s="69">
        <v>399450</v>
      </c>
      <c r="E140" s="73">
        <f>Table819[[#This Row],[Total US$ ]]*$E$2</f>
        <v>7034314.5</v>
      </c>
      <c r="F140" s="65" t="s">
        <v>86</v>
      </c>
      <c r="G140" s="63" t="s">
        <v>570</v>
      </c>
      <c r="H140" s="63" t="s">
        <v>571</v>
      </c>
      <c r="I140" s="63" t="s">
        <v>572</v>
      </c>
      <c r="J140" s="110" t="s">
        <v>494</v>
      </c>
      <c r="K140" s="169" t="s">
        <v>806</v>
      </c>
      <c r="L140" s="85">
        <v>44845</v>
      </c>
      <c r="M140" s="85">
        <v>45657</v>
      </c>
    </row>
    <row r="141" spans="1:13" ht="96" x14ac:dyDescent="0.2">
      <c r="A141" s="65" t="s">
        <v>181</v>
      </c>
      <c r="B141" s="65" t="s">
        <v>73</v>
      </c>
      <c r="C141" s="63" t="s">
        <v>8</v>
      </c>
      <c r="D141" s="69">
        <v>2250000</v>
      </c>
      <c r="E141" s="73">
        <f>Table819[[#This Row],[Total US$ ]]*$E$2</f>
        <v>39622500</v>
      </c>
      <c r="F141" s="65" t="s">
        <v>86</v>
      </c>
      <c r="G141" s="63" t="s">
        <v>573</v>
      </c>
      <c r="H141" s="63" t="s">
        <v>574</v>
      </c>
      <c r="I141" s="63" t="s">
        <v>575</v>
      </c>
      <c r="J141" s="110" t="s">
        <v>494</v>
      </c>
      <c r="K141" s="169" t="s">
        <v>807</v>
      </c>
      <c r="L141" s="85">
        <v>44927</v>
      </c>
      <c r="M141" s="85">
        <v>46752</v>
      </c>
    </row>
    <row r="142" spans="1:13" ht="64" x14ac:dyDescent="0.2">
      <c r="A142" s="65" t="s">
        <v>182</v>
      </c>
      <c r="B142" s="65" t="s">
        <v>468</v>
      </c>
      <c r="C142" s="63" t="s">
        <v>426</v>
      </c>
      <c r="D142" s="69">
        <v>3158550</v>
      </c>
      <c r="E142" s="73">
        <f>Table819[[#This Row],[Total US$ ]]*$E$2</f>
        <v>55622065.5</v>
      </c>
      <c r="F142" s="65" t="s">
        <v>86</v>
      </c>
      <c r="G142" s="63" t="s">
        <v>576</v>
      </c>
      <c r="H142" s="63" t="s">
        <v>512</v>
      </c>
      <c r="I142" s="63" t="s">
        <v>577</v>
      </c>
      <c r="J142" s="110" t="s">
        <v>494</v>
      </c>
      <c r="K142" s="63" t="s">
        <v>554</v>
      </c>
      <c r="L142" s="85">
        <v>44562</v>
      </c>
      <c r="M142" s="85">
        <v>46022</v>
      </c>
    </row>
    <row r="143" spans="1:13" ht="80" x14ac:dyDescent="0.2">
      <c r="A143" s="65" t="s">
        <v>183</v>
      </c>
      <c r="B143" s="65" t="s">
        <v>72</v>
      </c>
      <c r="C143" s="63" t="s">
        <v>32</v>
      </c>
      <c r="D143" s="69">
        <v>945000</v>
      </c>
      <c r="E143" s="73">
        <f>Table819[[#This Row],[Total US$ ]]*$E$2</f>
        <v>16641450</v>
      </c>
      <c r="F143" s="65" t="s">
        <v>86</v>
      </c>
      <c r="G143" s="63" t="s">
        <v>578</v>
      </c>
      <c r="H143" s="63" t="s">
        <v>579</v>
      </c>
      <c r="I143" s="63" t="s">
        <v>580</v>
      </c>
      <c r="J143" s="110" t="s">
        <v>494</v>
      </c>
      <c r="K143" s="63" t="s">
        <v>555</v>
      </c>
      <c r="L143" s="85">
        <v>44562</v>
      </c>
      <c r="M143" s="85">
        <v>46752</v>
      </c>
    </row>
    <row r="144" spans="1:13" ht="80" x14ac:dyDescent="0.2">
      <c r="A144" s="65" t="s">
        <v>184</v>
      </c>
      <c r="B144" s="65" t="s">
        <v>72</v>
      </c>
      <c r="C144" s="63" t="s">
        <v>32</v>
      </c>
      <c r="D144" s="69">
        <v>1687500</v>
      </c>
      <c r="E144" s="73">
        <f>Table819[[#This Row],[Total US$ ]]*$E$2</f>
        <v>29716875</v>
      </c>
      <c r="F144" s="65" t="s">
        <v>86</v>
      </c>
      <c r="G144" s="63" t="s">
        <v>578</v>
      </c>
      <c r="H144" s="63" t="s">
        <v>579</v>
      </c>
      <c r="I144" s="63" t="s">
        <v>580</v>
      </c>
      <c r="J144" s="110" t="s">
        <v>494</v>
      </c>
      <c r="K144" s="63" t="s">
        <v>556</v>
      </c>
      <c r="L144" s="85">
        <v>44562</v>
      </c>
      <c r="M144" s="85">
        <v>46752</v>
      </c>
    </row>
    <row r="145" spans="1:13" ht="80" x14ac:dyDescent="0.2">
      <c r="A145" s="65" t="s">
        <v>185</v>
      </c>
      <c r="B145" s="65" t="s">
        <v>72</v>
      </c>
      <c r="C145" s="63" t="s">
        <v>32</v>
      </c>
      <c r="D145" s="69">
        <v>6300000</v>
      </c>
      <c r="E145" s="73">
        <f>Table819[[#This Row],[Total US$ ]]*$E$2</f>
        <v>110943000</v>
      </c>
      <c r="F145" s="65" t="s">
        <v>86</v>
      </c>
      <c r="G145" s="63" t="s">
        <v>578</v>
      </c>
      <c r="H145" s="63" t="s">
        <v>581</v>
      </c>
      <c r="I145" s="63" t="s">
        <v>582</v>
      </c>
      <c r="J145" s="110" t="s">
        <v>494</v>
      </c>
      <c r="K145" s="63" t="s">
        <v>557</v>
      </c>
      <c r="L145" s="85">
        <v>44562</v>
      </c>
      <c r="M145" s="85">
        <v>46752</v>
      </c>
    </row>
    <row r="146" spans="1:13" s="30" customFormat="1" ht="80" x14ac:dyDescent="0.2">
      <c r="A146" s="65" t="s">
        <v>583</v>
      </c>
      <c r="B146" s="65" t="s">
        <v>73</v>
      </c>
      <c r="C146" s="63" t="s">
        <v>584</v>
      </c>
      <c r="D146" s="69">
        <v>75000</v>
      </c>
      <c r="E146" s="73">
        <f>Table819[[#This Row],[Total US$ ]]*$E$2</f>
        <v>1320750</v>
      </c>
      <c r="F146" s="65" t="s">
        <v>86</v>
      </c>
      <c r="G146" s="63" t="s">
        <v>586</v>
      </c>
      <c r="H146" s="63" t="s">
        <v>587</v>
      </c>
      <c r="I146" s="63" t="s">
        <v>588</v>
      </c>
      <c r="J146" s="84" t="s">
        <v>494</v>
      </c>
      <c r="K146" s="63" t="s">
        <v>751</v>
      </c>
      <c r="L146" s="85">
        <v>45504</v>
      </c>
      <c r="M146" s="85">
        <v>46053</v>
      </c>
    </row>
    <row r="147" spans="1:13" s="30" customFormat="1" ht="144" x14ac:dyDescent="0.2">
      <c r="A147" s="65" t="s">
        <v>591</v>
      </c>
      <c r="B147" s="65" t="s">
        <v>468</v>
      </c>
      <c r="C147" s="63" t="s">
        <v>585</v>
      </c>
      <c r="D147" s="69">
        <v>120000</v>
      </c>
      <c r="E147" s="73">
        <f>Table819[[#This Row],[Total US$ ]]*$E$2</f>
        <v>2113200</v>
      </c>
      <c r="F147" s="65" t="s">
        <v>86</v>
      </c>
      <c r="G147" s="63" t="s">
        <v>589</v>
      </c>
      <c r="H147" s="63" t="s">
        <v>589</v>
      </c>
      <c r="I147" s="63" t="s">
        <v>590</v>
      </c>
      <c r="J147" s="84" t="s">
        <v>494</v>
      </c>
      <c r="K147" s="63" t="s">
        <v>752</v>
      </c>
      <c r="L147" s="85">
        <v>45102</v>
      </c>
      <c r="M147" s="85">
        <v>45657</v>
      </c>
    </row>
    <row r="148" spans="1:13" ht="64" x14ac:dyDescent="0.2">
      <c r="A148" s="65" t="s">
        <v>192</v>
      </c>
      <c r="B148" s="65" t="s">
        <v>73</v>
      </c>
      <c r="C148" s="63" t="s">
        <v>9</v>
      </c>
      <c r="D148" s="69">
        <v>2160000</v>
      </c>
      <c r="E148" s="73">
        <f>Table819[[#This Row],[Total US$ ]]*$E$2</f>
        <v>38037600</v>
      </c>
      <c r="F148" s="65" t="s">
        <v>87</v>
      </c>
      <c r="G148" s="76" t="s">
        <v>513</v>
      </c>
      <c r="H148" s="76" t="s">
        <v>758</v>
      </c>
      <c r="I148" s="76" t="s">
        <v>759</v>
      </c>
      <c r="J148" s="110" t="s">
        <v>494</v>
      </c>
      <c r="K148" s="63" t="s">
        <v>558</v>
      </c>
      <c r="L148" s="85">
        <v>44562</v>
      </c>
      <c r="M148" s="85">
        <v>46022</v>
      </c>
    </row>
    <row r="149" spans="1:13" ht="32" x14ac:dyDescent="0.2">
      <c r="A149" s="65" t="s">
        <v>193</v>
      </c>
      <c r="B149" s="65" t="s">
        <v>73</v>
      </c>
      <c r="C149" s="63" t="s">
        <v>10</v>
      </c>
      <c r="D149" s="69">
        <v>186580.56489795921</v>
      </c>
      <c r="E149" s="73">
        <f>Table819[[#This Row],[Total US$ ]]*$E$2</f>
        <v>3285683.7478530616</v>
      </c>
      <c r="F149" s="65" t="s">
        <v>87</v>
      </c>
      <c r="G149" s="76" t="s">
        <v>382</v>
      </c>
      <c r="H149" s="76" t="s">
        <v>760</v>
      </c>
      <c r="I149" s="76" t="s">
        <v>761</v>
      </c>
      <c r="J149" s="110" t="s">
        <v>494</v>
      </c>
      <c r="K149" s="63" t="s">
        <v>339</v>
      </c>
      <c r="L149" s="85">
        <v>44880</v>
      </c>
      <c r="M149" s="85">
        <v>45961</v>
      </c>
    </row>
    <row r="150" spans="1:13" ht="80" x14ac:dyDescent="0.2">
      <c r="A150" s="65" t="s">
        <v>194</v>
      </c>
      <c r="B150" s="65" t="s">
        <v>56</v>
      </c>
      <c r="C150" s="63" t="s">
        <v>252</v>
      </c>
      <c r="D150" s="69">
        <v>1867752.0000000002</v>
      </c>
      <c r="E150" s="73">
        <f>Table819[[#This Row],[Total US$ ]]*$E$2</f>
        <v>32891112.720000003</v>
      </c>
      <c r="F150" s="65" t="s">
        <v>87</v>
      </c>
      <c r="G150" s="76" t="s">
        <v>60</v>
      </c>
      <c r="H150" s="76" t="s">
        <v>762</v>
      </c>
      <c r="I150" s="76" t="s">
        <v>763</v>
      </c>
      <c r="J150" s="110" t="s">
        <v>494</v>
      </c>
      <c r="K150" s="63" t="s">
        <v>559</v>
      </c>
      <c r="L150" s="85">
        <v>44927</v>
      </c>
      <c r="M150" s="85">
        <v>47848</v>
      </c>
    </row>
    <row r="151" spans="1:13" ht="64" x14ac:dyDescent="0.2">
      <c r="A151" s="65" t="s">
        <v>195</v>
      </c>
      <c r="B151" s="65" t="s">
        <v>70</v>
      </c>
      <c r="C151" s="63" t="s">
        <v>253</v>
      </c>
      <c r="D151" s="69">
        <v>54000000</v>
      </c>
      <c r="E151" s="73">
        <f>Table819[[#This Row],[Total US$ ]]*$E$2</f>
        <v>950940000</v>
      </c>
      <c r="F151" s="65" t="s">
        <v>87</v>
      </c>
      <c r="G151" s="76" t="s">
        <v>6</v>
      </c>
      <c r="H151" s="76" t="s">
        <v>6</v>
      </c>
      <c r="I151" s="76" t="s">
        <v>6</v>
      </c>
      <c r="J151" s="110" t="s">
        <v>251</v>
      </c>
      <c r="K151" s="63" t="s">
        <v>340</v>
      </c>
      <c r="L151" s="85">
        <v>44927</v>
      </c>
      <c r="M151" s="85">
        <v>47848</v>
      </c>
    </row>
    <row r="152" spans="1:13" ht="64" x14ac:dyDescent="0.2">
      <c r="A152" s="65" t="s">
        <v>196</v>
      </c>
      <c r="B152" s="65" t="s">
        <v>70</v>
      </c>
      <c r="C152" s="63" t="s">
        <v>254</v>
      </c>
      <c r="D152" s="69">
        <v>2160000</v>
      </c>
      <c r="E152" s="73">
        <f>Table819[[#This Row],[Total US$ ]]*$E$2</f>
        <v>38037600</v>
      </c>
      <c r="F152" s="65" t="s">
        <v>87</v>
      </c>
      <c r="G152" s="76" t="s">
        <v>514</v>
      </c>
      <c r="H152" s="76" t="s">
        <v>764</v>
      </c>
      <c r="I152" s="76" t="s">
        <v>765</v>
      </c>
      <c r="J152" s="110" t="s">
        <v>494</v>
      </c>
      <c r="K152" s="63" t="s">
        <v>341</v>
      </c>
      <c r="L152" s="85">
        <v>44562</v>
      </c>
      <c r="M152" s="85">
        <v>46022</v>
      </c>
    </row>
    <row r="153" spans="1:13" ht="96" x14ac:dyDescent="0.2">
      <c r="A153" s="65" t="s">
        <v>504</v>
      </c>
      <c r="B153" s="65" t="s">
        <v>73</v>
      </c>
      <c r="C153" s="63" t="s">
        <v>505</v>
      </c>
      <c r="D153" s="69">
        <v>384054.48000000004</v>
      </c>
      <c r="E153" s="73">
        <f>Table819[[#This Row],[Total US$ ]]*$E$2</f>
        <v>6763199.3928000005</v>
      </c>
      <c r="F153" s="65" t="s">
        <v>87</v>
      </c>
      <c r="G153" s="76" t="s">
        <v>506</v>
      </c>
      <c r="H153" s="76" t="s">
        <v>766</v>
      </c>
      <c r="I153" s="76" t="s">
        <v>767</v>
      </c>
      <c r="J153" s="110" t="s">
        <v>494</v>
      </c>
      <c r="K153" s="63" t="s">
        <v>560</v>
      </c>
      <c r="L153" s="85">
        <v>44927</v>
      </c>
      <c r="M153" s="85">
        <v>46022</v>
      </c>
    </row>
    <row r="154" spans="1:13" ht="192" x14ac:dyDescent="0.2">
      <c r="A154" s="65" t="s">
        <v>186</v>
      </c>
      <c r="B154" s="65" t="s">
        <v>72</v>
      </c>
      <c r="C154" s="63" t="s">
        <v>32</v>
      </c>
      <c r="D154" s="69">
        <v>600400</v>
      </c>
      <c r="E154" s="73">
        <f>Table819[[#This Row],[Total US$ ]]*$E$2</f>
        <v>10573044</v>
      </c>
      <c r="F154" s="65" t="s">
        <v>88</v>
      </c>
      <c r="G154" s="76" t="s">
        <v>375</v>
      </c>
      <c r="H154" s="76"/>
      <c r="I154" s="76"/>
      <c r="J154" s="110" t="s">
        <v>494</v>
      </c>
      <c r="K154" s="63" t="s">
        <v>342</v>
      </c>
      <c r="L154" s="85">
        <v>44501</v>
      </c>
      <c r="M154" s="85">
        <v>45626</v>
      </c>
    </row>
    <row r="155" spans="1:13" ht="256" x14ac:dyDescent="0.2">
      <c r="A155" s="65" t="s">
        <v>187</v>
      </c>
      <c r="B155" s="65" t="s">
        <v>72</v>
      </c>
      <c r="C155" s="63" t="s">
        <v>32</v>
      </c>
      <c r="D155" s="69">
        <v>190000</v>
      </c>
      <c r="E155" s="73">
        <f>Table819[[#This Row],[Total US$ ]]*$E$2</f>
        <v>3345900</v>
      </c>
      <c r="F155" s="65" t="s">
        <v>88</v>
      </c>
      <c r="G155" s="76" t="s">
        <v>98</v>
      </c>
      <c r="H155" s="76"/>
      <c r="I155" s="76"/>
      <c r="J155" s="110" t="s">
        <v>494</v>
      </c>
      <c r="K155" s="63" t="s">
        <v>343</v>
      </c>
      <c r="L155" s="85">
        <v>44501</v>
      </c>
      <c r="M155" s="85">
        <v>45626</v>
      </c>
    </row>
    <row r="156" spans="1:13" ht="335" x14ac:dyDescent="0.2">
      <c r="A156" s="65" t="s">
        <v>188</v>
      </c>
      <c r="B156" s="65" t="s">
        <v>72</v>
      </c>
      <c r="C156" s="63" t="s">
        <v>32</v>
      </c>
      <c r="D156" s="69">
        <v>304000</v>
      </c>
      <c r="E156" s="73">
        <f>Table819[[#This Row],[Total US$ ]]*$E$2</f>
        <v>5353440</v>
      </c>
      <c r="F156" s="65" t="s">
        <v>88</v>
      </c>
      <c r="G156" s="76" t="s">
        <v>99</v>
      </c>
      <c r="H156" s="76"/>
      <c r="I156" s="76"/>
      <c r="J156" s="110" t="s">
        <v>494</v>
      </c>
      <c r="K156" s="63" t="s">
        <v>344</v>
      </c>
      <c r="L156" s="85">
        <v>44927</v>
      </c>
      <c r="M156" s="85">
        <v>46203</v>
      </c>
    </row>
    <row r="157" spans="1:13" ht="335" x14ac:dyDescent="0.2">
      <c r="A157" s="65" t="s">
        <v>189</v>
      </c>
      <c r="B157" s="65" t="s">
        <v>72</v>
      </c>
      <c r="C157" s="63" t="s">
        <v>32</v>
      </c>
      <c r="D157" s="69">
        <v>159600</v>
      </c>
      <c r="E157" s="73">
        <f>Table819[[#This Row],[Total US$ ]]*$E$2</f>
        <v>2810556</v>
      </c>
      <c r="F157" s="65" t="s">
        <v>88</v>
      </c>
      <c r="G157" s="76" t="s">
        <v>287</v>
      </c>
      <c r="H157" s="76"/>
      <c r="I157" s="76"/>
      <c r="J157" s="110" t="s">
        <v>494</v>
      </c>
      <c r="K157" s="63" t="s">
        <v>345</v>
      </c>
      <c r="L157" s="85">
        <v>44986</v>
      </c>
      <c r="M157" s="85">
        <v>46203</v>
      </c>
    </row>
    <row r="158" spans="1:13" ht="64" x14ac:dyDescent="0.2">
      <c r="A158" s="65" t="s">
        <v>113</v>
      </c>
      <c r="B158" s="65" t="s">
        <v>56</v>
      </c>
      <c r="C158" s="63" t="s">
        <v>25</v>
      </c>
      <c r="D158" s="69">
        <v>1110000</v>
      </c>
      <c r="E158" s="73">
        <f>Table819[[#This Row],[Total US$ ]]*$E$2</f>
        <v>19547100</v>
      </c>
      <c r="F158" s="65" t="s">
        <v>111</v>
      </c>
      <c r="G158" s="76" t="s">
        <v>507</v>
      </c>
      <c r="H158" s="76" t="s">
        <v>659</v>
      </c>
      <c r="I158" s="76" t="s">
        <v>56</v>
      </c>
      <c r="J158" s="110" t="s">
        <v>494</v>
      </c>
      <c r="K158" s="63" t="s">
        <v>753</v>
      </c>
      <c r="L158" s="86">
        <v>44501</v>
      </c>
      <c r="M158" s="86">
        <v>45657</v>
      </c>
    </row>
    <row r="159" spans="1:13" ht="64" x14ac:dyDescent="0.2">
      <c r="A159" s="65" t="s">
        <v>114</v>
      </c>
      <c r="B159" s="65" t="s">
        <v>56</v>
      </c>
      <c r="C159" s="63" t="s">
        <v>246</v>
      </c>
      <c r="D159" s="69">
        <v>2480528.4108000002</v>
      </c>
      <c r="E159" s="73">
        <f>Table819[[#This Row],[Total US$ ]]*$E$2</f>
        <v>43682105.314188004</v>
      </c>
      <c r="F159" s="65" t="s">
        <v>111</v>
      </c>
      <c r="G159" s="76" t="s">
        <v>376</v>
      </c>
      <c r="H159" s="76" t="s">
        <v>660</v>
      </c>
      <c r="I159" s="76" t="s">
        <v>661</v>
      </c>
      <c r="J159" s="110" t="s">
        <v>494</v>
      </c>
      <c r="K159" s="63" t="s">
        <v>346</v>
      </c>
      <c r="L159" s="86">
        <v>44501</v>
      </c>
      <c r="M159" s="86">
        <v>45657</v>
      </c>
    </row>
    <row r="160" spans="1:13" ht="96" x14ac:dyDescent="0.2">
      <c r="A160" s="65" t="s">
        <v>115</v>
      </c>
      <c r="B160" s="65" t="s">
        <v>56</v>
      </c>
      <c r="C160" s="63" t="s">
        <v>651</v>
      </c>
      <c r="D160" s="69">
        <v>7781100.0000000009</v>
      </c>
      <c r="E160" s="73">
        <f>Table819[[#This Row],[Total US$ ]]*$E$2</f>
        <v>137025171</v>
      </c>
      <c r="F160" s="65" t="s">
        <v>111</v>
      </c>
      <c r="G160" s="76" t="s">
        <v>377</v>
      </c>
      <c r="H160" s="76" t="s">
        <v>662</v>
      </c>
      <c r="I160" s="76" t="s">
        <v>663</v>
      </c>
      <c r="J160" s="110" t="s">
        <v>494</v>
      </c>
      <c r="K160" s="63" t="s">
        <v>347</v>
      </c>
      <c r="L160" s="86">
        <v>44501</v>
      </c>
      <c r="M160" s="86">
        <v>45657</v>
      </c>
    </row>
    <row r="161" spans="1:15" ht="64" x14ac:dyDescent="0.2">
      <c r="A161" s="65" t="s">
        <v>116</v>
      </c>
      <c r="B161" s="65" t="s">
        <v>72</v>
      </c>
      <c r="C161" s="63" t="s">
        <v>247</v>
      </c>
      <c r="D161" s="69">
        <v>5494500.0000000009</v>
      </c>
      <c r="E161" s="73">
        <f>Table819[[#This Row],[Total US$ ]]*$E$2</f>
        <v>96758145.000000015</v>
      </c>
      <c r="F161" s="65" t="s">
        <v>111</v>
      </c>
      <c r="G161" s="76" t="s">
        <v>508</v>
      </c>
      <c r="H161" s="76" t="s">
        <v>664</v>
      </c>
      <c r="I161" s="76" t="s">
        <v>665</v>
      </c>
      <c r="J161" s="110" t="s">
        <v>494</v>
      </c>
      <c r="K161" s="63" t="s">
        <v>348</v>
      </c>
      <c r="L161" s="86">
        <v>44713</v>
      </c>
      <c r="M161" s="86">
        <v>45808</v>
      </c>
    </row>
    <row r="162" spans="1:15" ht="48" x14ac:dyDescent="0.2">
      <c r="A162" s="65" t="s">
        <v>117</v>
      </c>
      <c r="B162" s="65" t="s">
        <v>468</v>
      </c>
      <c r="C162" s="63" t="s">
        <v>248</v>
      </c>
      <c r="D162" s="69">
        <v>1110000</v>
      </c>
      <c r="E162" s="73">
        <f>Table819[[#This Row],[Total US$ ]]*$E$2</f>
        <v>19547100</v>
      </c>
      <c r="F162" s="65" t="s">
        <v>111</v>
      </c>
      <c r="G162" s="76" t="s">
        <v>509</v>
      </c>
      <c r="H162" s="76" t="s">
        <v>666</v>
      </c>
      <c r="I162" s="76" t="s">
        <v>667</v>
      </c>
      <c r="J162" s="110" t="s">
        <v>494</v>
      </c>
      <c r="K162" s="89" t="s">
        <v>754</v>
      </c>
      <c r="L162" s="87">
        <v>44562</v>
      </c>
      <c r="M162" s="87">
        <v>45930</v>
      </c>
    </row>
    <row r="163" spans="1:15" ht="80" x14ac:dyDescent="0.2">
      <c r="A163" s="65" t="s">
        <v>164</v>
      </c>
      <c r="B163" s="65" t="s">
        <v>56</v>
      </c>
      <c r="C163" s="63" t="s">
        <v>47</v>
      </c>
      <c r="D163" s="69">
        <v>8996550</v>
      </c>
      <c r="E163" s="73">
        <f>Table819[[#This Row],[Total US$ ]]*$E$2</f>
        <v>158429245.5</v>
      </c>
      <c r="F163" s="65" t="s">
        <v>111</v>
      </c>
      <c r="G163" s="76" t="s">
        <v>378</v>
      </c>
      <c r="H163" s="76" t="s">
        <v>662</v>
      </c>
      <c r="I163" s="76" t="s">
        <v>668</v>
      </c>
      <c r="J163" s="110" t="s">
        <v>494</v>
      </c>
      <c r="K163" s="63" t="s">
        <v>398</v>
      </c>
      <c r="L163" s="86">
        <v>44501</v>
      </c>
      <c r="M163" s="86">
        <v>45930</v>
      </c>
    </row>
    <row r="164" spans="1:15" ht="64" x14ac:dyDescent="0.2">
      <c r="A164" s="65" t="s">
        <v>165</v>
      </c>
      <c r="B164" s="65" t="s">
        <v>468</v>
      </c>
      <c r="C164" s="63" t="s">
        <v>48</v>
      </c>
      <c r="D164" s="69">
        <v>1110000</v>
      </c>
      <c r="E164" s="73">
        <f>Table819[[#This Row],[Total US$ ]]*$E$2</f>
        <v>19547100</v>
      </c>
      <c r="F164" s="65" t="s">
        <v>111</v>
      </c>
      <c r="G164" s="76" t="s">
        <v>379</v>
      </c>
      <c r="H164" s="76" t="s">
        <v>669</v>
      </c>
      <c r="I164" s="76" t="s">
        <v>670</v>
      </c>
      <c r="J164" s="110" t="s">
        <v>494</v>
      </c>
      <c r="K164" s="63" t="s">
        <v>755</v>
      </c>
      <c r="L164" s="86">
        <v>44501</v>
      </c>
      <c r="M164" s="85">
        <v>47117</v>
      </c>
    </row>
    <row r="165" spans="1:15" ht="112" x14ac:dyDescent="0.2">
      <c r="A165" s="65" t="s">
        <v>166</v>
      </c>
      <c r="B165" s="65" t="s">
        <v>468</v>
      </c>
      <c r="C165" s="63" t="s">
        <v>49</v>
      </c>
      <c r="D165" s="69">
        <v>3663000.0000000005</v>
      </c>
      <c r="E165" s="73">
        <f>Table819[[#This Row],[Total US$ ]]*$E$2</f>
        <v>64505430.000000007</v>
      </c>
      <c r="F165" s="65" t="s">
        <v>111</v>
      </c>
      <c r="G165" s="76" t="s">
        <v>380</v>
      </c>
      <c r="H165" s="76" t="s">
        <v>669</v>
      </c>
      <c r="I165" s="76" t="s">
        <v>671</v>
      </c>
      <c r="J165" s="110" t="s">
        <v>494</v>
      </c>
      <c r="K165" s="63" t="s">
        <v>349</v>
      </c>
      <c r="L165" s="86">
        <v>44501</v>
      </c>
      <c r="M165" s="85">
        <v>46386</v>
      </c>
    </row>
    <row r="166" spans="1:15" ht="64" x14ac:dyDescent="0.2">
      <c r="A166" s="65" t="s">
        <v>244</v>
      </c>
      <c r="B166" s="65" t="s">
        <v>56</v>
      </c>
      <c r="C166" s="63" t="s">
        <v>249</v>
      </c>
      <c r="D166" s="69">
        <v>7215000</v>
      </c>
      <c r="E166" s="73">
        <f>Table819[[#This Row],[Total US$ ]]*$E$2</f>
        <v>127056150</v>
      </c>
      <c r="F166" s="65" t="s">
        <v>111</v>
      </c>
      <c r="G166" s="76" t="s">
        <v>381</v>
      </c>
      <c r="H166" s="76" t="s">
        <v>659</v>
      </c>
      <c r="I166" s="76" t="s">
        <v>56</v>
      </c>
      <c r="J166" s="110" t="s">
        <v>494</v>
      </c>
      <c r="K166" s="63" t="s">
        <v>399</v>
      </c>
      <c r="L166" s="86">
        <v>44501</v>
      </c>
      <c r="M166" s="85">
        <v>46387</v>
      </c>
    </row>
    <row r="167" spans="1:15" s="34" customFormat="1" ht="98" x14ac:dyDescent="0.2">
      <c r="A167" s="65" t="s">
        <v>652</v>
      </c>
      <c r="B167" s="65" t="s">
        <v>56</v>
      </c>
      <c r="C167" s="63" t="s">
        <v>651</v>
      </c>
      <c r="D167" s="69">
        <v>7781100.0000000009</v>
      </c>
      <c r="E167" s="73">
        <f>Table819[[#This Row],[Total US$ ]]*$E$2</f>
        <v>137025171</v>
      </c>
      <c r="F167" s="65" t="s">
        <v>111</v>
      </c>
      <c r="G167" s="143" t="s">
        <v>377</v>
      </c>
      <c r="H167" s="76" t="s">
        <v>672</v>
      </c>
      <c r="I167" s="76" t="s">
        <v>663</v>
      </c>
      <c r="J167" s="84" t="s">
        <v>251</v>
      </c>
      <c r="K167" s="144" t="s">
        <v>756</v>
      </c>
      <c r="L167" s="145">
        <v>45747</v>
      </c>
      <c r="M167" s="145">
        <v>47118</v>
      </c>
    </row>
    <row r="168" spans="1:15" s="34" customFormat="1" ht="49" x14ac:dyDescent="0.2">
      <c r="A168" s="65" t="s">
        <v>653</v>
      </c>
      <c r="B168" s="65" t="s">
        <v>56</v>
      </c>
      <c r="C168" s="63" t="s">
        <v>674</v>
      </c>
      <c r="D168" s="69">
        <v>3885000.0000000005</v>
      </c>
      <c r="E168" s="73">
        <f>Table819[[#This Row],[Total US$ ]]*$E$2</f>
        <v>68414850</v>
      </c>
      <c r="F168" s="65" t="s">
        <v>111</v>
      </c>
      <c r="G168" s="143" t="s">
        <v>675</v>
      </c>
      <c r="H168" s="76" t="s">
        <v>673</v>
      </c>
      <c r="I168" s="76" t="s">
        <v>667</v>
      </c>
      <c r="J168" s="84" t="s">
        <v>494</v>
      </c>
      <c r="K168" s="144" t="s">
        <v>757</v>
      </c>
      <c r="L168" s="145">
        <v>45574</v>
      </c>
      <c r="M168" s="145">
        <v>46752</v>
      </c>
    </row>
    <row r="169" spans="1:15" x14ac:dyDescent="0.2">
      <c r="D169" s="54">
        <f>SUBTOTAL(109,Table819[Total US$ ])</f>
        <v>630109102.28467202</v>
      </c>
      <c r="E169" s="71">
        <f>SUBTOTAL(109,Table819[Total ZAR])</f>
        <v>11096221291.233074</v>
      </c>
      <c r="F169" s="2"/>
    </row>
    <row r="170" spans="1:15" x14ac:dyDescent="0.2">
      <c r="A170" s="65"/>
      <c r="B170" s="65"/>
      <c r="C170" s="63"/>
      <c r="D170" s="123"/>
      <c r="E170" s="119"/>
      <c r="F170" s="65"/>
      <c r="G170" s="64"/>
      <c r="H170" s="64"/>
      <c r="I170" s="64"/>
      <c r="J170" s="65"/>
      <c r="K170" s="63"/>
      <c r="L170" s="65"/>
      <c r="M170" s="65"/>
    </row>
    <row r="171" spans="1:15" x14ac:dyDescent="0.2">
      <c r="A171" s="65"/>
      <c r="B171" s="65"/>
      <c r="C171" s="63"/>
      <c r="D171" s="123"/>
      <c r="E171" s="119"/>
      <c r="F171" s="65"/>
      <c r="G171" s="64"/>
      <c r="H171" s="64"/>
      <c r="I171" s="64"/>
      <c r="J171" s="65"/>
      <c r="K171" s="63"/>
      <c r="L171" s="65"/>
      <c r="M171" s="65"/>
    </row>
    <row r="172" spans="1:15" x14ac:dyDescent="0.2">
      <c r="A172" s="65"/>
      <c r="B172" s="65"/>
      <c r="C172" s="63"/>
      <c r="D172" s="122"/>
      <c r="E172" s="119"/>
      <c r="F172" s="65"/>
      <c r="G172" s="64"/>
      <c r="H172" s="64"/>
      <c r="I172" s="64"/>
      <c r="J172" s="65"/>
      <c r="K172" s="63"/>
      <c r="L172" s="65"/>
      <c r="M172" s="65"/>
    </row>
    <row r="173" spans="1:15" x14ac:dyDescent="0.2">
      <c r="A173" s="65"/>
      <c r="B173" s="65"/>
      <c r="C173" s="63"/>
      <c r="D173" s="121"/>
      <c r="E173" s="120"/>
      <c r="F173" s="65"/>
      <c r="G173" s="64"/>
      <c r="H173" s="64"/>
      <c r="I173" s="64"/>
      <c r="J173" s="65"/>
      <c r="K173" s="63"/>
      <c r="L173" s="65"/>
      <c r="M173" s="65"/>
    </row>
    <row r="174" spans="1:15" x14ac:dyDescent="0.2">
      <c r="A174" s="65"/>
      <c r="B174" s="65"/>
      <c r="C174" s="63"/>
      <c r="D174" s="123"/>
      <c r="E174" s="119"/>
      <c r="F174" s="65"/>
      <c r="G174" s="64"/>
      <c r="H174" s="64"/>
      <c r="I174" s="64"/>
      <c r="J174" s="65"/>
      <c r="K174" s="63"/>
      <c r="L174" s="65"/>
      <c r="M174" s="65"/>
    </row>
    <row r="175" spans="1:15" x14ac:dyDescent="0.2">
      <c r="A175" s="65"/>
      <c r="B175" s="65"/>
      <c r="C175" s="63"/>
      <c r="D175" s="123"/>
      <c r="E175" s="119"/>
      <c r="F175" s="65"/>
      <c r="G175" s="64"/>
      <c r="H175" s="64"/>
      <c r="I175" s="64"/>
      <c r="J175" s="65"/>
      <c r="K175" s="63"/>
      <c r="L175" s="65"/>
      <c r="M175" s="65"/>
    </row>
    <row r="176" spans="1:15" ht="33" customHeight="1" x14ac:dyDescent="0.2">
      <c r="A176" s="230" t="s">
        <v>676</v>
      </c>
      <c r="B176" s="230"/>
      <c r="C176" s="230"/>
      <c r="D176" s="230"/>
      <c r="E176" s="230"/>
      <c r="F176" s="230"/>
      <c r="G176" s="230"/>
      <c r="H176" s="230"/>
      <c r="I176" s="230"/>
      <c r="J176" s="230"/>
      <c r="K176" s="230"/>
      <c r="L176" s="230"/>
      <c r="M176" s="230"/>
      <c r="N176" s="230"/>
      <c r="O176" s="230"/>
    </row>
    <row r="177" spans="1:15" x14ac:dyDescent="0.2">
      <c r="B177" s="1"/>
      <c r="C177"/>
      <c r="F177" s="1"/>
      <c r="G177" s="1"/>
      <c r="H177" s="1"/>
      <c r="I177" s="1"/>
      <c r="J177" s="1"/>
      <c r="K177" s="3"/>
      <c r="L177" s="17"/>
      <c r="M177" s="19"/>
      <c r="N177" s="19"/>
      <c r="O177" s="19"/>
    </row>
    <row r="178" spans="1:15" x14ac:dyDescent="0.2">
      <c r="A178" s="230" t="s">
        <v>561</v>
      </c>
      <c r="B178" s="230"/>
      <c r="C178" s="230"/>
      <c r="D178" s="230"/>
      <c r="E178" s="230"/>
      <c r="F178" s="230"/>
      <c r="G178" s="230"/>
      <c r="H178" s="230"/>
      <c r="I178" s="230"/>
      <c r="J178" s="230"/>
      <c r="K178" s="230"/>
      <c r="L178" s="17"/>
      <c r="M178" s="19"/>
      <c r="N178" s="19"/>
      <c r="O178" s="19"/>
    </row>
    <row r="179" spans="1:15" x14ac:dyDescent="0.2">
      <c r="A179" s="30"/>
      <c r="B179" s="22"/>
      <c r="C179" s="12"/>
      <c r="D179" s="124"/>
      <c r="E179" s="29"/>
      <c r="F179" s="25"/>
      <c r="G179" s="25"/>
      <c r="H179" s="25"/>
      <c r="I179" s="25"/>
      <c r="J179" s="6"/>
      <c r="K179" s="7"/>
      <c r="L179" s="12"/>
      <c r="M179" s="14"/>
      <c r="N179" s="14"/>
      <c r="O179" s="14"/>
    </row>
    <row r="180" spans="1:15" x14ac:dyDescent="0.2">
      <c r="A180" s="2" t="s">
        <v>502</v>
      </c>
      <c r="B180" s="22"/>
      <c r="C180" s="12"/>
      <c r="D180" s="124"/>
      <c r="E180" s="29"/>
      <c r="F180" s="25"/>
      <c r="G180" s="25"/>
      <c r="H180" s="25"/>
      <c r="I180" s="25"/>
      <c r="J180" s="6"/>
      <c r="K180" s="7"/>
      <c r="L180" s="12"/>
      <c r="M180" s="14"/>
      <c r="N180" s="14"/>
      <c r="O180" s="14"/>
    </row>
    <row r="181" spans="1:15" x14ac:dyDescent="0.2">
      <c r="A181" s="65"/>
      <c r="B181" s="65"/>
      <c r="C181" s="63"/>
      <c r="D181" s="123"/>
      <c r="E181" s="119"/>
      <c r="F181" s="65"/>
      <c r="G181" s="64"/>
      <c r="H181" s="64"/>
      <c r="I181" s="64"/>
      <c r="J181" s="65"/>
      <c r="K181" s="63"/>
      <c r="L181" s="65"/>
      <c r="M181" s="65"/>
    </row>
    <row r="184" spans="1:15" x14ac:dyDescent="0.2">
      <c r="F184" s="116"/>
      <c r="G184" s="118"/>
      <c r="H184" s="118"/>
      <c r="I184" s="118"/>
    </row>
    <row r="185" spans="1:15" x14ac:dyDescent="0.2">
      <c r="F185" s="116"/>
      <c r="G185" s="118"/>
      <c r="H185" s="118"/>
      <c r="I185" s="118"/>
    </row>
    <row r="186" spans="1:15" x14ac:dyDescent="0.2">
      <c r="D186" s="125"/>
      <c r="E186" s="25"/>
      <c r="F186" s="116"/>
      <c r="G186" s="118"/>
      <c r="H186" s="118"/>
      <c r="I186" s="118"/>
    </row>
    <row r="187" spans="1:15" x14ac:dyDescent="0.2">
      <c r="F187" s="116"/>
      <c r="G187" s="118"/>
      <c r="H187" s="118"/>
      <c r="I187" s="118"/>
    </row>
    <row r="188" spans="1:15" x14ac:dyDescent="0.2">
      <c r="F188" s="117"/>
    </row>
  </sheetData>
  <mergeCells count="4">
    <mergeCell ref="A176:O176"/>
    <mergeCell ref="A178:K178"/>
    <mergeCell ref="A1:D3"/>
    <mergeCell ref="E2:E3"/>
  </mergeCells>
  <phoneticPr fontId="1"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6C3A55E8-075C-184F-AD72-786DBF8B3C97}">
          <x14:formula1>
            <xm:f>Dropdowns!$I$2:$I$15</xm:f>
          </x14:formula1>
          <xm:sqref>F165:F168 F5:F82 F84:F163</xm:sqref>
        </x14:dataValidation>
        <x14:dataValidation type="list" allowBlank="1" showInputMessage="1" showErrorMessage="1" xr:uid="{8B810A98-A523-FD4D-8D2E-52C64AD179FD}">
          <x14:formula1>
            <xm:f>Dropdowns!$C$2:$C$7</xm:f>
          </x14:formula1>
          <xm:sqref>B170:B175 B181 B5:B168</xm:sqref>
        </x14:dataValidation>
        <x14:dataValidation type="list" allowBlank="1" showInputMessage="1" showErrorMessage="1" xr:uid="{2563556E-CBEE-2E40-B607-F5A17ABB4753}">
          <x14:formula1>
            <xm:f>Dropdowns!$K$2:$K$5</xm:f>
          </x14:formula1>
          <xm:sqref>J5:J42 J44:J168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6255-9B6B-CC40-87D2-2147BDF9B71E}">
  <dimension ref="A1:O18"/>
  <sheetViews>
    <sheetView showGridLines="0" zoomScale="120" zoomScaleNormal="120" workbookViewId="0">
      <pane xSplit="1" ySplit="3" topLeftCell="B4" activePane="bottomRight" state="frozen"/>
      <selection pane="topRight" activeCell="B1" sqref="B1"/>
      <selection pane="bottomLeft" activeCell="A4" sqref="A4"/>
      <selection pane="bottomRight" sqref="A1:XFD1048576"/>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6640625" bestFit="1" customWidth="1"/>
    <col min="6" max="6" width="14.1640625" bestFit="1" customWidth="1"/>
    <col min="7" max="7" width="13.33203125" bestFit="1" customWidth="1"/>
    <col min="8" max="10" width="30.6640625" customWidth="1"/>
    <col min="11" max="11" width="16" customWidth="1"/>
    <col min="12" max="12" width="51.83203125" customWidth="1"/>
    <col min="13" max="13" width="23.5" bestFit="1" customWidth="1"/>
    <col min="14" max="14" width="25.33203125" bestFit="1" customWidth="1"/>
  </cols>
  <sheetData>
    <row r="1" spans="1:15" x14ac:dyDescent="0.2">
      <c r="D1" s="53" t="s">
        <v>62</v>
      </c>
      <c r="F1" s="232">
        <v>17.61</v>
      </c>
    </row>
    <row r="2" spans="1:15" ht="16" thickBot="1" x14ac:dyDescent="0.25">
      <c r="D2" s="52">
        <v>1.08</v>
      </c>
      <c r="F2" s="233"/>
    </row>
    <row r="3" spans="1:15" ht="16" x14ac:dyDescent="0.2">
      <c r="A3" t="s">
        <v>104</v>
      </c>
      <c r="B3" s="105" t="s">
        <v>467</v>
      </c>
      <c r="C3" s="106" t="s">
        <v>469</v>
      </c>
      <c r="D3" s="44" t="s">
        <v>176</v>
      </c>
      <c r="E3" s="44" t="s">
        <v>235</v>
      </c>
      <c r="F3" s="44" t="s">
        <v>38</v>
      </c>
      <c r="G3" s="44" t="s">
        <v>95</v>
      </c>
      <c r="H3" s="107" t="s">
        <v>350</v>
      </c>
      <c r="I3" s="126" t="s">
        <v>565</v>
      </c>
      <c r="J3" s="126" t="s">
        <v>566</v>
      </c>
      <c r="K3" s="108" t="s">
        <v>470</v>
      </c>
      <c r="L3" s="109" t="s">
        <v>472</v>
      </c>
      <c r="M3" s="45" t="s">
        <v>496</v>
      </c>
      <c r="N3" s="45" t="s">
        <v>497</v>
      </c>
    </row>
    <row r="4" spans="1:15" ht="96" x14ac:dyDescent="0.2">
      <c r="A4" s="65" t="s">
        <v>105</v>
      </c>
      <c r="B4" s="65" t="s">
        <v>468</v>
      </c>
      <c r="C4" s="63" t="s">
        <v>3</v>
      </c>
      <c r="D4" s="69">
        <f>Table8[[#This Row],[Euro - Amount]]*$D$2</f>
        <v>162000</v>
      </c>
      <c r="E4" s="72">
        <v>150000</v>
      </c>
      <c r="F4" s="73">
        <f>Table8[[#This Row],[Total US$ ]]*$F$1</f>
        <v>2852820</v>
      </c>
      <c r="G4" s="65" t="s">
        <v>386</v>
      </c>
      <c r="H4" s="63" t="s">
        <v>389</v>
      </c>
      <c r="I4" s="63"/>
      <c r="J4" s="63"/>
      <c r="K4" s="84" t="s">
        <v>495</v>
      </c>
      <c r="L4" s="63" t="s">
        <v>391</v>
      </c>
      <c r="M4" s="85">
        <v>44562</v>
      </c>
      <c r="N4" s="85">
        <v>45291</v>
      </c>
    </row>
    <row r="5" spans="1:15" ht="144" x14ac:dyDescent="0.2">
      <c r="A5" s="65" t="s">
        <v>106</v>
      </c>
      <c r="B5" s="65" t="s">
        <v>468</v>
      </c>
      <c r="C5" s="62" t="s">
        <v>13</v>
      </c>
      <c r="D5" s="69">
        <f>Table8[[#This Row],[Euro - Amount]]*$D$2</f>
        <v>2160000</v>
      </c>
      <c r="E5" s="72">
        <v>2000000</v>
      </c>
      <c r="F5" s="73">
        <f>Table8[[#This Row],[Total US$ ]]*$F$1</f>
        <v>38037600</v>
      </c>
      <c r="G5" s="65" t="s">
        <v>386</v>
      </c>
      <c r="H5" s="64" t="s">
        <v>53</v>
      </c>
      <c r="I5" s="64"/>
      <c r="J5" s="64"/>
      <c r="K5" s="84" t="s">
        <v>494</v>
      </c>
      <c r="L5" s="63" t="s">
        <v>392</v>
      </c>
      <c r="M5" s="85">
        <v>44501</v>
      </c>
      <c r="N5" s="85">
        <v>46022</v>
      </c>
    </row>
    <row r="6" spans="1:15" ht="96" x14ac:dyDescent="0.2">
      <c r="A6" s="65" t="s">
        <v>107</v>
      </c>
      <c r="B6" s="65" t="s">
        <v>73</v>
      </c>
      <c r="C6" s="62" t="s">
        <v>13</v>
      </c>
      <c r="D6" s="69">
        <f>Table8[[#This Row],[Euro - Amount]]*$D$2</f>
        <v>86400</v>
      </c>
      <c r="E6" s="72">
        <v>80000</v>
      </c>
      <c r="F6" s="73">
        <f>Table8[[#This Row],[Total US$ ]]*$F$1</f>
        <v>1521504</v>
      </c>
      <c r="G6" s="65" t="s">
        <v>386</v>
      </c>
      <c r="H6" s="63" t="s">
        <v>389</v>
      </c>
      <c r="I6" s="63"/>
      <c r="J6" s="63"/>
      <c r="K6" s="84" t="s">
        <v>494</v>
      </c>
      <c r="L6" s="63" t="s">
        <v>393</v>
      </c>
      <c r="M6" s="85">
        <v>45292</v>
      </c>
      <c r="N6" s="85">
        <v>45657</v>
      </c>
    </row>
    <row r="7" spans="1:15" ht="80" x14ac:dyDescent="0.2">
      <c r="A7" s="65" t="s">
        <v>108</v>
      </c>
      <c r="B7" s="65" t="s">
        <v>468</v>
      </c>
      <c r="C7" s="62" t="s">
        <v>13</v>
      </c>
      <c r="D7" s="69">
        <f>Table8[[#This Row],[Euro - Amount]]*$D$2</f>
        <v>21600</v>
      </c>
      <c r="E7" s="72">
        <v>20000</v>
      </c>
      <c r="F7" s="73">
        <f>Table8[[#This Row],[Total US$ ]]*$F$1</f>
        <v>380376</v>
      </c>
      <c r="G7" s="65" t="s">
        <v>386</v>
      </c>
      <c r="H7" s="63" t="s">
        <v>389</v>
      </c>
      <c r="I7" s="63"/>
      <c r="J7" s="63"/>
      <c r="K7" s="84" t="s">
        <v>495</v>
      </c>
      <c r="L7" s="89" t="s">
        <v>394</v>
      </c>
      <c r="M7" s="85">
        <v>44927</v>
      </c>
      <c r="N7" s="85">
        <v>45291</v>
      </c>
    </row>
    <row r="8" spans="1:15" ht="144" x14ac:dyDescent="0.2">
      <c r="A8" s="65" t="s">
        <v>298</v>
      </c>
      <c r="B8" s="65" t="s">
        <v>56</v>
      </c>
      <c r="C8" s="62" t="s">
        <v>22</v>
      </c>
      <c r="D8" s="69">
        <v>16200000.000000002</v>
      </c>
      <c r="E8" s="72">
        <v>15000000</v>
      </c>
      <c r="F8" s="73">
        <f>Table8[[#This Row],[Total US$ ]]*$F$1</f>
        <v>285282000</v>
      </c>
      <c r="G8" s="65" t="s">
        <v>386</v>
      </c>
      <c r="H8" s="76" t="s">
        <v>390</v>
      </c>
      <c r="I8" s="76"/>
      <c r="J8" s="76"/>
      <c r="K8" s="84" t="s">
        <v>494</v>
      </c>
      <c r="L8" s="89" t="s">
        <v>395</v>
      </c>
      <c r="M8" s="85">
        <v>45017</v>
      </c>
      <c r="N8" s="85">
        <v>46752</v>
      </c>
    </row>
    <row r="9" spans="1:15" ht="160" x14ac:dyDescent="0.2">
      <c r="A9" s="65" t="s">
        <v>109</v>
      </c>
      <c r="B9" s="65" t="s">
        <v>72</v>
      </c>
      <c r="C9" s="62" t="s">
        <v>32</v>
      </c>
      <c r="D9" s="69">
        <f>Table8[[#This Row],[Euro - Amount]]*$D$2</f>
        <v>172800</v>
      </c>
      <c r="E9" s="72">
        <v>160000</v>
      </c>
      <c r="F9" s="73">
        <f>Table8[[#This Row],[Total US$ ]]*$F$1</f>
        <v>3043008</v>
      </c>
      <c r="G9" s="65" t="s">
        <v>386</v>
      </c>
      <c r="H9" s="64" t="s">
        <v>33</v>
      </c>
      <c r="I9" s="64"/>
      <c r="J9" s="64"/>
      <c r="K9" s="84" t="s">
        <v>494</v>
      </c>
      <c r="L9" s="63" t="s">
        <v>396</v>
      </c>
      <c r="M9" s="85">
        <v>44562</v>
      </c>
      <c r="N9" s="85">
        <v>46387</v>
      </c>
    </row>
    <row r="10" spans="1:15" ht="32" x14ac:dyDescent="0.2">
      <c r="A10" s="65" t="s">
        <v>415</v>
      </c>
      <c r="B10" s="65" t="s">
        <v>72</v>
      </c>
      <c r="C10" s="62" t="s">
        <v>32</v>
      </c>
      <c r="D10" s="69">
        <f>Table8[[#This Row],[Euro - Amount]]*$D$2</f>
        <v>270000</v>
      </c>
      <c r="E10" s="72">
        <v>250000</v>
      </c>
      <c r="F10" s="73">
        <f>Table8[[#This Row],[Total US$ ]]*$F$1</f>
        <v>4754700</v>
      </c>
      <c r="G10" s="65" t="s">
        <v>386</v>
      </c>
      <c r="H10" s="64" t="s">
        <v>416</v>
      </c>
      <c r="I10" s="64"/>
      <c r="J10" s="64"/>
      <c r="K10" s="84" t="s">
        <v>494</v>
      </c>
      <c r="L10" s="62" t="s">
        <v>431</v>
      </c>
      <c r="M10" s="85">
        <v>44562</v>
      </c>
      <c r="N10" s="85">
        <v>46387</v>
      </c>
    </row>
    <row r="11" spans="1:15" ht="128" x14ac:dyDescent="0.2">
      <c r="A11" s="65" t="s">
        <v>110</v>
      </c>
      <c r="B11" s="65" t="s">
        <v>468</v>
      </c>
      <c r="C11" s="63" t="s">
        <v>35</v>
      </c>
      <c r="D11" s="69">
        <f>Table8[[#This Row],[Euro - Amount]]*$D$2</f>
        <v>37800000</v>
      </c>
      <c r="E11" s="72">
        <v>35000000</v>
      </c>
      <c r="F11" s="73">
        <f>Table8[[#This Row],[Total US$ ]]*$F$1</f>
        <v>665658000</v>
      </c>
      <c r="G11" s="65" t="s">
        <v>386</v>
      </c>
      <c r="H11" s="64" t="s">
        <v>59</v>
      </c>
      <c r="I11" s="64"/>
      <c r="J11" s="64"/>
      <c r="K11" s="84" t="s">
        <v>494</v>
      </c>
      <c r="L11" s="63" t="s">
        <v>397</v>
      </c>
      <c r="M11" s="85">
        <v>45292</v>
      </c>
      <c r="N11" s="85">
        <v>46021</v>
      </c>
    </row>
    <row r="12" spans="1:15" x14ac:dyDescent="0.2">
      <c r="D12" s="54">
        <f>SUBTOTAL(109,Table8[Total US$ ])</f>
        <v>56872800</v>
      </c>
      <c r="E12" s="58">
        <f>SUBTOTAL(109,Table8[Euro - Amount])</f>
        <v>52660000</v>
      </c>
      <c r="F12" s="71">
        <f>SUBTOTAL(109,Table8[Total ZAR])</f>
        <v>1001530008</v>
      </c>
      <c r="G12" s="2"/>
    </row>
    <row r="14" spans="1:15" ht="29" customHeight="1" x14ac:dyDescent="0.2">
      <c r="A14" s="230" t="s">
        <v>676</v>
      </c>
      <c r="B14" s="230"/>
      <c r="C14" s="230"/>
      <c r="D14" s="230"/>
      <c r="E14" s="230"/>
      <c r="F14" s="230"/>
      <c r="G14" s="230"/>
      <c r="H14" s="230"/>
      <c r="I14" s="230"/>
      <c r="J14" s="230"/>
      <c r="K14" s="230"/>
      <c r="L14" s="230"/>
      <c r="M14" s="230"/>
      <c r="N14" s="230"/>
      <c r="O14" s="230"/>
    </row>
    <row r="15" spans="1:15" x14ac:dyDescent="0.2">
      <c r="B15" s="1"/>
      <c r="E15" s="1"/>
      <c r="F15" s="1"/>
      <c r="G15" s="8"/>
      <c r="H15" s="1"/>
      <c r="I15" s="1"/>
      <c r="J15" s="1"/>
      <c r="K15" s="3"/>
      <c r="M15" s="17"/>
      <c r="N15" s="19"/>
      <c r="O15" s="19"/>
    </row>
    <row r="16" spans="1:15" ht="15" customHeight="1" x14ac:dyDescent="0.2">
      <c r="A16" s="230" t="s">
        <v>561</v>
      </c>
      <c r="B16" s="230"/>
      <c r="C16" s="230"/>
      <c r="D16" s="230"/>
      <c r="E16" s="230"/>
      <c r="F16" s="230"/>
      <c r="G16" s="230"/>
      <c r="H16" s="230"/>
      <c r="I16" s="230"/>
      <c r="J16" s="230"/>
      <c r="K16" s="230"/>
      <c r="L16" s="230"/>
      <c r="M16" s="17"/>
      <c r="N16" s="19"/>
      <c r="O16" s="19"/>
    </row>
    <row r="18" spans="1:1" x14ac:dyDescent="0.2">
      <c r="A18" s="2" t="s">
        <v>502</v>
      </c>
    </row>
  </sheetData>
  <mergeCells count="3">
    <mergeCell ref="F1:F2"/>
    <mergeCell ref="A16:L16"/>
    <mergeCell ref="A14:O14"/>
  </mergeCells>
  <phoneticPr fontId="1"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E33EB60C-B4B4-5B4D-AE6C-190FE6FF347C}">
          <x14:formula1>
            <xm:f>Dropdowns!$I$2:$I$15</xm:f>
          </x14:formula1>
          <xm:sqref>G4:G11</xm:sqref>
        </x14:dataValidation>
        <x14:dataValidation type="list" allowBlank="1" showInputMessage="1" showErrorMessage="1" xr:uid="{19720ACC-BF93-9141-BE23-AD3B76DA96D5}">
          <x14:formula1>
            <xm:f>Dropdowns!$C$2:$C$7</xm:f>
          </x14:formula1>
          <xm:sqref>B4:B11</xm:sqref>
        </x14:dataValidation>
        <x14:dataValidation type="list" allowBlank="1" showInputMessage="1" showErrorMessage="1" xr:uid="{ACF0ED0C-F326-424A-B9D5-B0BDC60594AD}">
          <x14:formula1>
            <xm:f>Dropdowns!$K$2:$K$5</xm:f>
          </x14:formula1>
          <xm:sqref>K4:K11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CFE2B-C001-4C4B-8A22-DDFC2DF54B79}">
  <dimension ref="A1:P136"/>
  <sheetViews>
    <sheetView showGridLines="0" zoomScaleNormal="100" workbookViewId="0">
      <pane xSplit="1" ySplit="3" topLeftCell="D4" activePane="bottomRight" state="frozen"/>
      <selection pane="topRight" activeCell="B1" sqref="B1"/>
      <selection pane="bottomLeft" activeCell="A4" sqref="A4"/>
      <selection pane="bottomRight" activeCell="J8" sqref="J8"/>
    </sheetView>
  </sheetViews>
  <sheetFormatPr baseColWidth="10" defaultRowHeight="15" x14ac:dyDescent="0.2"/>
  <cols>
    <col min="1" max="1" width="11.1640625" customWidth="1"/>
    <col min="2" max="2" width="20.1640625" bestFit="1" customWidth="1"/>
    <col min="3" max="3" width="24.33203125" customWidth="1"/>
    <col min="4" max="4" width="12" bestFit="1" customWidth="1"/>
    <col min="5" max="5" width="13.83203125" bestFit="1" customWidth="1"/>
    <col min="6" max="6" width="13.1640625" bestFit="1" customWidth="1"/>
    <col min="7" max="7" width="13.5" bestFit="1" customWidth="1"/>
    <col min="8" max="8" width="30.6640625" customWidth="1"/>
    <col min="9" max="9" width="31.6640625" bestFit="1" customWidth="1"/>
    <col min="10" max="10" width="30.33203125" customWidth="1"/>
    <col min="11" max="11" width="16" customWidth="1"/>
    <col min="12" max="12" width="51.83203125" customWidth="1"/>
    <col min="13" max="13" width="24.33203125" bestFit="1" customWidth="1"/>
    <col min="14" max="14" width="26.33203125" bestFit="1" customWidth="1"/>
  </cols>
  <sheetData>
    <row r="1" spans="1:14" x14ac:dyDescent="0.2">
      <c r="D1" s="53" t="s">
        <v>149</v>
      </c>
      <c r="F1" s="232">
        <v>17.61</v>
      </c>
    </row>
    <row r="2" spans="1:14" ht="16" thickBot="1" x14ac:dyDescent="0.25">
      <c r="D2" s="52">
        <v>1.25</v>
      </c>
      <c r="F2" s="233"/>
    </row>
    <row r="3" spans="1:14" ht="16" x14ac:dyDescent="0.2">
      <c r="A3" t="s">
        <v>104</v>
      </c>
      <c r="B3" s="105" t="s">
        <v>467</v>
      </c>
      <c r="C3" s="106" t="s">
        <v>469</v>
      </c>
      <c r="D3" s="44" t="s">
        <v>176</v>
      </c>
      <c r="E3" s="44" t="s">
        <v>243</v>
      </c>
      <c r="F3" s="44" t="s">
        <v>38</v>
      </c>
      <c r="G3" s="44" t="s">
        <v>95</v>
      </c>
      <c r="H3" s="107" t="s">
        <v>350</v>
      </c>
      <c r="I3" s="107" t="s">
        <v>565</v>
      </c>
      <c r="J3" s="107" t="s">
        <v>566</v>
      </c>
      <c r="K3" s="108" t="s">
        <v>470</v>
      </c>
      <c r="L3" s="109" t="s">
        <v>472</v>
      </c>
      <c r="M3" s="45" t="s">
        <v>496</v>
      </c>
      <c r="N3" s="45" t="s">
        <v>497</v>
      </c>
    </row>
    <row r="4" spans="1:14" s="30" customFormat="1" ht="128" x14ac:dyDescent="0.2">
      <c r="A4" s="65" t="s">
        <v>112</v>
      </c>
      <c r="B4" s="65" t="s">
        <v>468</v>
      </c>
      <c r="C4" s="63" t="s">
        <v>0</v>
      </c>
      <c r="D4" s="68">
        <f>Table810[[#This Row],[GBP - Amount]]*$D$2</f>
        <v>5016129.0374999996</v>
      </c>
      <c r="E4" s="74">
        <v>4012903.23</v>
      </c>
      <c r="F4" s="67">
        <f>Table810[[#This Row],[Total US$ ]]*$F$1</f>
        <v>88334032.350374997</v>
      </c>
      <c r="G4" s="65" t="s">
        <v>387</v>
      </c>
      <c r="H4" s="64" t="s">
        <v>1</v>
      </c>
      <c r="I4" s="76" t="s">
        <v>593</v>
      </c>
      <c r="J4" s="76" t="s">
        <v>594</v>
      </c>
      <c r="K4" s="84" t="s">
        <v>494</v>
      </c>
      <c r="L4" s="63" t="s">
        <v>299</v>
      </c>
      <c r="M4" s="85">
        <v>44501</v>
      </c>
      <c r="N4" s="85">
        <v>46387</v>
      </c>
    </row>
    <row r="5" spans="1:14" s="30" customFormat="1" ht="64" x14ac:dyDescent="0.2">
      <c r="A5" s="65" t="s">
        <v>118</v>
      </c>
      <c r="B5" s="65" t="s">
        <v>468</v>
      </c>
      <c r="C5" s="63" t="s">
        <v>0</v>
      </c>
      <c r="D5" s="68">
        <f>Table810[[#This Row],[GBP - Amount]]*$D$2</f>
        <v>1391129.0375000001</v>
      </c>
      <c r="E5" s="74">
        <v>1112903.23</v>
      </c>
      <c r="F5" s="79">
        <f>Table810[[#This Row],[Total US$ ]]*$F$1</f>
        <v>24497782.350375</v>
      </c>
      <c r="G5" s="65" t="s">
        <v>387</v>
      </c>
      <c r="H5" s="64" t="s">
        <v>592</v>
      </c>
      <c r="I5" s="76" t="s">
        <v>593</v>
      </c>
      <c r="J5" s="76" t="s">
        <v>594</v>
      </c>
      <c r="K5" s="84" t="s">
        <v>494</v>
      </c>
      <c r="L5" s="63" t="s">
        <v>300</v>
      </c>
      <c r="M5" s="85">
        <v>44562</v>
      </c>
      <c r="N5" s="85">
        <v>46387</v>
      </c>
    </row>
    <row r="6" spans="1:14" s="30" customFormat="1" ht="96" x14ac:dyDescent="0.2">
      <c r="A6" s="65" t="s">
        <v>119</v>
      </c>
      <c r="B6" s="65" t="s">
        <v>468</v>
      </c>
      <c r="C6" s="63" t="s">
        <v>4</v>
      </c>
      <c r="D6" s="68">
        <f>Table810[[#This Row],[GBP - Amount]]*$D$2</f>
        <v>117708.75</v>
      </c>
      <c r="E6" s="74">
        <v>94167</v>
      </c>
      <c r="F6" s="79">
        <f>Table810[[#This Row],[Total US$ ]]*$F$1</f>
        <v>2072851.0874999999</v>
      </c>
      <c r="G6" s="65" t="s">
        <v>387</v>
      </c>
      <c r="H6" s="76" t="s">
        <v>516</v>
      </c>
      <c r="I6" s="76" t="s">
        <v>595</v>
      </c>
      <c r="J6" s="76"/>
      <c r="K6" s="84" t="s">
        <v>495</v>
      </c>
      <c r="L6" s="63" t="s">
        <v>633</v>
      </c>
      <c r="M6" s="85">
        <v>44562</v>
      </c>
      <c r="N6" s="85">
        <v>45260</v>
      </c>
    </row>
    <row r="7" spans="1:14" s="30" customFormat="1" ht="112" x14ac:dyDescent="0.2">
      <c r="A7" s="65" t="s">
        <v>120</v>
      </c>
      <c r="B7" s="65" t="s">
        <v>468</v>
      </c>
      <c r="C7" s="63" t="s">
        <v>12</v>
      </c>
      <c r="D7" s="68">
        <f>Table810[[#This Row],[GBP - Amount]]*$D$2</f>
        <v>165479.45000000001</v>
      </c>
      <c r="E7" s="75">
        <v>132383.56</v>
      </c>
      <c r="F7" s="79">
        <f>Table810[[#This Row],[Total US$ ]]*$F$1</f>
        <v>2914093.1145000001</v>
      </c>
      <c r="G7" s="65" t="s">
        <v>387</v>
      </c>
      <c r="H7" s="76" t="s">
        <v>518</v>
      </c>
      <c r="I7" s="76" t="s">
        <v>596</v>
      </c>
      <c r="J7" s="76"/>
      <c r="K7" s="84" t="s">
        <v>495</v>
      </c>
      <c r="L7" s="63" t="s">
        <v>634</v>
      </c>
      <c r="M7" s="85">
        <v>44927</v>
      </c>
      <c r="N7" s="85">
        <v>45260</v>
      </c>
    </row>
    <row r="8" spans="1:14" s="30" customFormat="1" ht="256" x14ac:dyDescent="0.2">
      <c r="A8" s="65" t="s">
        <v>121</v>
      </c>
      <c r="B8" s="65" t="s">
        <v>73</v>
      </c>
      <c r="C8" s="63" t="s">
        <v>9</v>
      </c>
      <c r="D8" s="68">
        <f>Table810[[#This Row],[GBP - Amount]]*$D$2</f>
        <v>432670</v>
      </c>
      <c r="E8" s="75">
        <v>346136</v>
      </c>
      <c r="F8" s="79">
        <f>Table810[[#This Row],[Total US$ ]]*$F$1</f>
        <v>7619318.7000000002</v>
      </c>
      <c r="G8" s="65" t="s">
        <v>387</v>
      </c>
      <c r="H8" s="64" t="s">
        <v>517</v>
      </c>
      <c r="I8" s="64" t="s">
        <v>597</v>
      </c>
      <c r="J8" s="64"/>
      <c r="K8" s="84" t="s">
        <v>495</v>
      </c>
      <c r="L8" s="63" t="s">
        <v>301</v>
      </c>
      <c r="M8" s="85">
        <v>44501</v>
      </c>
      <c r="N8" s="85">
        <v>45016</v>
      </c>
    </row>
    <row r="9" spans="1:14" s="30" customFormat="1" ht="112" x14ac:dyDescent="0.2">
      <c r="A9" s="65" t="s">
        <v>122</v>
      </c>
      <c r="B9" s="65" t="s">
        <v>73</v>
      </c>
      <c r="C9" s="63" t="s">
        <v>9</v>
      </c>
      <c r="D9" s="68">
        <f>Table810[[#This Row],[GBP - Amount]]*$D$2</f>
        <v>645311.25</v>
      </c>
      <c r="E9" s="75">
        <v>516249</v>
      </c>
      <c r="F9" s="79">
        <f>Table810[[#This Row],[Total US$ ]]*$F$1</f>
        <v>11363931.112499999</v>
      </c>
      <c r="G9" s="65" t="s">
        <v>387</v>
      </c>
      <c r="H9" s="76" t="s">
        <v>34</v>
      </c>
      <c r="I9" s="76" t="s">
        <v>598</v>
      </c>
      <c r="J9" s="76" t="s">
        <v>599</v>
      </c>
      <c r="K9" s="84" t="s">
        <v>495</v>
      </c>
      <c r="L9" s="63" t="s">
        <v>635</v>
      </c>
      <c r="M9" s="85">
        <v>44501</v>
      </c>
      <c r="N9" s="85">
        <v>45016</v>
      </c>
    </row>
    <row r="10" spans="1:14" s="30" customFormat="1" ht="112" x14ac:dyDescent="0.2">
      <c r="A10" s="65" t="s">
        <v>123</v>
      </c>
      <c r="B10" s="65" t="s">
        <v>73</v>
      </c>
      <c r="C10" s="63" t="s">
        <v>9</v>
      </c>
      <c r="D10" s="68">
        <f>Table810[[#This Row],[GBP - Amount]]*$D$2</f>
        <v>1154023.75</v>
      </c>
      <c r="E10" s="74">
        <v>923219</v>
      </c>
      <c r="F10" s="79">
        <f>Table810[[#This Row],[Total US$ ]]*$F$1</f>
        <v>20322358.237500001</v>
      </c>
      <c r="G10" s="65" t="s">
        <v>387</v>
      </c>
      <c r="H10" s="76" t="s">
        <v>519</v>
      </c>
      <c r="I10" s="76" t="s">
        <v>600</v>
      </c>
      <c r="J10" s="76" t="s">
        <v>600</v>
      </c>
      <c r="K10" s="84" t="s">
        <v>494</v>
      </c>
      <c r="L10" s="63" t="s">
        <v>302</v>
      </c>
      <c r="M10" s="85">
        <v>44501</v>
      </c>
      <c r="N10" s="85">
        <v>45657</v>
      </c>
    </row>
    <row r="11" spans="1:14" s="30" customFormat="1" ht="224" x14ac:dyDescent="0.2">
      <c r="A11" s="65" t="s">
        <v>124</v>
      </c>
      <c r="B11" s="65" t="s">
        <v>73</v>
      </c>
      <c r="C11" s="63" t="s">
        <v>11</v>
      </c>
      <c r="D11" s="68">
        <f>Table810[[#This Row],[GBP - Amount]]*$D$2</f>
        <v>1637597.5</v>
      </c>
      <c r="E11" s="75">
        <v>1310078</v>
      </c>
      <c r="F11" s="79">
        <f>Table810[[#This Row],[Total US$ ]]*$F$1</f>
        <v>28838091.974999998</v>
      </c>
      <c r="G11" s="65" t="s">
        <v>387</v>
      </c>
      <c r="H11" s="64" t="s">
        <v>520</v>
      </c>
      <c r="I11" s="64"/>
      <c r="J11" s="64"/>
      <c r="K11" s="84" t="s">
        <v>494</v>
      </c>
      <c r="L11" s="63" t="s">
        <v>303</v>
      </c>
      <c r="M11" s="85">
        <v>44228</v>
      </c>
      <c r="N11" s="85">
        <v>45747</v>
      </c>
    </row>
    <row r="12" spans="1:14" s="30" customFormat="1" ht="112" x14ac:dyDescent="0.2">
      <c r="A12" s="65" t="s">
        <v>125</v>
      </c>
      <c r="B12" s="65" t="s">
        <v>73</v>
      </c>
      <c r="C12" s="63" t="s">
        <v>9</v>
      </c>
      <c r="D12" s="68">
        <f>Table810[[#This Row],[GBP - Amount]]*$D$2</f>
        <v>317027.5</v>
      </c>
      <c r="E12" s="75">
        <v>253622</v>
      </c>
      <c r="F12" s="79">
        <f>Table810[[#This Row],[Total US$ ]]*$F$1</f>
        <v>5582854.2749999994</v>
      </c>
      <c r="G12" s="65" t="s">
        <v>387</v>
      </c>
      <c r="H12" s="76" t="s">
        <v>521</v>
      </c>
      <c r="I12" s="76" t="s">
        <v>601</v>
      </c>
      <c r="J12" s="76" t="s">
        <v>602</v>
      </c>
      <c r="K12" s="84" t="s">
        <v>495</v>
      </c>
      <c r="L12" s="63" t="s">
        <v>304</v>
      </c>
      <c r="M12" s="85">
        <v>44228</v>
      </c>
      <c r="N12" s="85">
        <v>44895</v>
      </c>
    </row>
    <row r="13" spans="1:14" s="30" customFormat="1" ht="112" x14ac:dyDescent="0.2">
      <c r="A13" s="65" t="s">
        <v>126</v>
      </c>
      <c r="B13" s="65" t="s">
        <v>468</v>
      </c>
      <c r="C13" s="63" t="s">
        <v>422</v>
      </c>
      <c r="D13" s="68">
        <f>Table810[[#This Row],[GBP - Amount]]*$D$2</f>
        <v>331250</v>
      </c>
      <c r="E13" s="75">
        <v>265000</v>
      </c>
      <c r="F13" s="79">
        <f>Table810[[#This Row],[Total US$ ]]*$F$1</f>
        <v>5833312.5</v>
      </c>
      <c r="G13" s="65" t="s">
        <v>387</v>
      </c>
      <c r="H13" s="76" t="s">
        <v>522</v>
      </c>
      <c r="I13" s="76"/>
      <c r="J13" s="76"/>
      <c r="K13" s="84" t="s">
        <v>495</v>
      </c>
      <c r="L13" s="63" t="s">
        <v>305</v>
      </c>
      <c r="M13" s="85">
        <v>44562</v>
      </c>
      <c r="N13" s="85">
        <v>45351</v>
      </c>
    </row>
    <row r="14" spans="1:14" s="30" customFormat="1" ht="176" x14ac:dyDescent="0.2">
      <c r="A14" s="65" t="s">
        <v>127</v>
      </c>
      <c r="B14" s="65" t="s">
        <v>468</v>
      </c>
      <c r="C14" s="63" t="s">
        <v>9</v>
      </c>
      <c r="D14" s="68">
        <f>Table810[[#This Row],[GBP - Amount]]*$D$2</f>
        <v>22533.75</v>
      </c>
      <c r="E14" s="75">
        <v>18027</v>
      </c>
      <c r="F14" s="79">
        <f>Table810[[#This Row],[Total US$ ]]*$F$1</f>
        <v>396819.33749999997</v>
      </c>
      <c r="G14" s="65" t="s">
        <v>387</v>
      </c>
      <c r="H14" s="76" t="s">
        <v>523</v>
      </c>
      <c r="I14" s="76" t="s">
        <v>603</v>
      </c>
      <c r="J14" s="76"/>
      <c r="K14" s="84" t="s">
        <v>495</v>
      </c>
      <c r="L14" s="63" t="s">
        <v>636</v>
      </c>
      <c r="M14" s="85">
        <v>44958</v>
      </c>
      <c r="N14" s="85">
        <v>45230</v>
      </c>
    </row>
    <row r="15" spans="1:14" s="30" customFormat="1" ht="144" x14ac:dyDescent="0.2">
      <c r="A15" s="65" t="s">
        <v>128</v>
      </c>
      <c r="B15" s="65" t="s">
        <v>56</v>
      </c>
      <c r="C15" s="63" t="s">
        <v>21</v>
      </c>
      <c r="D15" s="68">
        <f>Table810[[#This Row],[GBP - Amount]]*$D$2</f>
        <v>153880</v>
      </c>
      <c r="E15" s="75">
        <v>123104</v>
      </c>
      <c r="F15" s="79">
        <f>Table810[[#This Row],[Total US$ ]]*$F$1</f>
        <v>2709826.8</v>
      </c>
      <c r="G15" s="65" t="s">
        <v>387</v>
      </c>
      <c r="H15" s="64" t="s">
        <v>524</v>
      </c>
      <c r="I15" s="64" t="s">
        <v>604</v>
      </c>
      <c r="J15" s="64"/>
      <c r="K15" s="84" t="s">
        <v>495</v>
      </c>
      <c r="L15" s="63" t="s">
        <v>306</v>
      </c>
      <c r="M15" s="86">
        <v>44501</v>
      </c>
      <c r="N15" s="86">
        <v>44712</v>
      </c>
    </row>
    <row r="16" spans="1:14" s="30" customFormat="1" ht="176" x14ac:dyDescent="0.2">
      <c r="A16" s="65" t="s">
        <v>129</v>
      </c>
      <c r="B16" s="65" t="s">
        <v>56</v>
      </c>
      <c r="C16" s="63" t="s">
        <v>22</v>
      </c>
      <c r="D16" s="68">
        <f>Table810[[#This Row],[GBP - Amount]]*$D$2</f>
        <v>187783.75</v>
      </c>
      <c r="E16" s="75">
        <v>150227</v>
      </c>
      <c r="F16" s="79">
        <f>Table810[[#This Row],[Total US$ ]]*$F$1</f>
        <v>3306871.8374999999</v>
      </c>
      <c r="G16" s="65" t="s">
        <v>387</v>
      </c>
      <c r="H16" s="76" t="s">
        <v>525</v>
      </c>
      <c r="I16" s="76" t="s">
        <v>605</v>
      </c>
      <c r="J16" s="76"/>
      <c r="K16" s="84" t="s">
        <v>495</v>
      </c>
      <c r="L16" s="63" t="s">
        <v>307</v>
      </c>
      <c r="M16" s="85">
        <v>44501</v>
      </c>
      <c r="N16" s="85">
        <v>44804</v>
      </c>
    </row>
    <row r="17" spans="1:14" s="30" customFormat="1" ht="128" x14ac:dyDescent="0.2">
      <c r="A17" s="65" t="s">
        <v>130</v>
      </c>
      <c r="B17" s="65" t="s">
        <v>56</v>
      </c>
      <c r="C17" s="63" t="s">
        <v>22</v>
      </c>
      <c r="D17" s="68">
        <f>Table810[[#This Row],[GBP - Amount]]*$D$2</f>
        <v>378561.25</v>
      </c>
      <c r="E17" s="75">
        <v>302849</v>
      </c>
      <c r="F17" s="79">
        <f>Table810[[#This Row],[Total US$ ]]*$F$1</f>
        <v>6666463.6124999998</v>
      </c>
      <c r="G17" s="65" t="s">
        <v>387</v>
      </c>
      <c r="H17" s="76" t="s">
        <v>526</v>
      </c>
      <c r="I17" s="76" t="s">
        <v>606</v>
      </c>
      <c r="J17" s="76"/>
      <c r="K17" s="84" t="s">
        <v>494</v>
      </c>
      <c r="L17" s="63" t="s">
        <v>637</v>
      </c>
      <c r="M17" s="85">
        <v>44866</v>
      </c>
      <c r="N17" s="85">
        <v>45657</v>
      </c>
    </row>
    <row r="18" spans="1:14" s="30" customFormat="1" ht="80" x14ac:dyDescent="0.2">
      <c r="A18" s="65" t="s">
        <v>131</v>
      </c>
      <c r="B18" s="65" t="s">
        <v>56</v>
      </c>
      <c r="C18" s="63" t="s">
        <v>23</v>
      </c>
      <c r="D18" s="68">
        <f>Table810[[#This Row],[GBP - Amount]]*$D$2</f>
        <v>6412500</v>
      </c>
      <c r="E18" s="74">
        <v>5130000</v>
      </c>
      <c r="F18" s="67">
        <f>Table810[[#This Row],[Total US$ ]]*$F$1</f>
        <v>112924125</v>
      </c>
      <c r="G18" s="65" t="s">
        <v>387</v>
      </c>
      <c r="H18" s="76" t="s">
        <v>527</v>
      </c>
      <c r="I18" s="76" t="s">
        <v>607</v>
      </c>
      <c r="J18" s="76" t="s">
        <v>607</v>
      </c>
      <c r="K18" s="84" t="s">
        <v>494</v>
      </c>
      <c r="L18" s="63" t="s">
        <v>308</v>
      </c>
      <c r="M18" s="85">
        <v>44866</v>
      </c>
      <c r="N18" s="85">
        <v>46022</v>
      </c>
    </row>
    <row r="19" spans="1:14" s="30" customFormat="1" ht="144" x14ac:dyDescent="0.2">
      <c r="A19" s="65" t="s">
        <v>132</v>
      </c>
      <c r="B19" s="65" t="s">
        <v>56</v>
      </c>
      <c r="C19" s="63" t="s">
        <v>23</v>
      </c>
      <c r="D19" s="68">
        <f>Table810[[#This Row],[GBP - Amount]]*$D$2</f>
        <v>514537.5</v>
      </c>
      <c r="E19" s="75">
        <v>411630</v>
      </c>
      <c r="F19" s="79">
        <f>Table810[[#This Row],[Total US$ ]]*$F$1</f>
        <v>9061005.375</v>
      </c>
      <c r="G19" s="65" t="s">
        <v>387</v>
      </c>
      <c r="H19" s="64" t="s">
        <v>520</v>
      </c>
      <c r="I19" s="64" t="s">
        <v>595</v>
      </c>
      <c r="J19" s="64"/>
      <c r="K19" s="84" t="s">
        <v>495</v>
      </c>
      <c r="L19" s="63" t="s">
        <v>638</v>
      </c>
      <c r="M19" s="85">
        <v>44562</v>
      </c>
      <c r="N19" s="85">
        <v>45107</v>
      </c>
    </row>
    <row r="20" spans="1:14" s="30" customFormat="1" ht="96" x14ac:dyDescent="0.2">
      <c r="A20" s="65" t="s">
        <v>133</v>
      </c>
      <c r="B20" s="65" t="s">
        <v>71</v>
      </c>
      <c r="C20" s="63" t="s">
        <v>22</v>
      </c>
      <c r="D20" s="68">
        <f>Table810[[#This Row],[GBP - Amount]]*$D$2</f>
        <v>377552.5</v>
      </c>
      <c r="E20" s="75">
        <v>302042</v>
      </c>
      <c r="F20" s="79">
        <f>Table810[[#This Row],[Total US$ ]]*$F$1</f>
        <v>6648699.5249999994</v>
      </c>
      <c r="G20" s="65" t="s">
        <v>387</v>
      </c>
      <c r="H20" s="76" t="s">
        <v>528</v>
      </c>
      <c r="I20" s="64" t="s">
        <v>608</v>
      </c>
      <c r="J20" s="76"/>
      <c r="K20" s="84" t="s">
        <v>495</v>
      </c>
      <c r="L20" s="63" t="s">
        <v>639</v>
      </c>
      <c r="M20" s="85">
        <v>44501</v>
      </c>
      <c r="N20" s="85">
        <v>45016</v>
      </c>
    </row>
    <row r="21" spans="1:14" s="30" customFormat="1" ht="96" x14ac:dyDescent="0.2">
      <c r="A21" s="65" t="s">
        <v>134</v>
      </c>
      <c r="B21" s="65" t="s">
        <v>71</v>
      </c>
      <c r="C21" s="63" t="s">
        <v>22</v>
      </c>
      <c r="D21" s="68">
        <f>Table810[[#This Row],[GBP - Amount]]*$D$2</f>
        <v>185216.25</v>
      </c>
      <c r="E21" s="75">
        <v>148173</v>
      </c>
      <c r="F21" s="79">
        <f>Table810[[#This Row],[Total US$ ]]*$F$1</f>
        <v>3261658.1625000001</v>
      </c>
      <c r="G21" s="65" t="s">
        <v>387</v>
      </c>
      <c r="H21" s="76" t="s">
        <v>526</v>
      </c>
      <c r="I21" s="76" t="s">
        <v>606</v>
      </c>
      <c r="J21" s="76"/>
      <c r="K21" s="84" t="s">
        <v>495</v>
      </c>
      <c r="L21" s="63" t="s">
        <v>640</v>
      </c>
      <c r="M21" s="85">
        <v>44501</v>
      </c>
      <c r="N21" s="85">
        <v>44926</v>
      </c>
    </row>
    <row r="22" spans="1:14" s="30" customFormat="1" ht="80" x14ac:dyDescent="0.2">
      <c r="A22" s="65" t="s">
        <v>135</v>
      </c>
      <c r="B22" s="65" t="s">
        <v>70</v>
      </c>
      <c r="C22" s="63" t="s">
        <v>27</v>
      </c>
      <c r="D22" s="68">
        <f>Table810[[#This Row],[GBP - Amount]]*$D$2</f>
        <v>2021655.9788453919</v>
      </c>
      <c r="E22" s="74">
        <v>1617324.7830763136</v>
      </c>
      <c r="F22" s="79">
        <f>Table810[[#This Row],[Total US$ ]]*$F$1</f>
        <v>35601361.787467353</v>
      </c>
      <c r="G22" s="65" t="s">
        <v>387</v>
      </c>
      <c r="H22" s="76" t="s">
        <v>529</v>
      </c>
      <c r="I22" s="76"/>
      <c r="J22" s="76"/>
      <c r="K22" s="84" t="s">
        <v>495</v>
      </c>
      <c r="L22" s="63" t="s">
        <v>551</v>
      </c>
      <c r="M22" s="85">
        <v>44501</v>
      </c>
      <c r="N22" s="85">
        <v>45016</v>
      </c>
    </row>
    <row r="23" spans="1:14" s="30" customFormat="1" ht="144" x14ac:dyDescent="0.2">
      <c r="A23" s="65" t="s">
        <v>136</v>
      </c>
      <c r="B23" s="65" t="s">
        <v>72</v>
      </c>
      <c r="C23" s="63" t="s">
        <v>31</v>
      </c>
      <c r="D23" s="68">
        <f>Table810[[#This Row],[GBP - Amount]]*$D$2</f>
        <v>307736.25</v>
      </c>
      <c r="E23" s="74">
        <v>246189</v>
      </c>
      <c r="F23" s="67">
        <f>Table810[[#This Row],[Total US$ ]]*$F$1</f>
        <v>5419235.3624999998</v>
      </c>
      <c r="G23" s="65" t="s">
        <v>387</v>
      </c>
      <c r="H23" s="64" t="s">
        <v>530</v>
      </c>
      <c r="I23" s="76" t="s">
        <v>609</v>
      </c>
      <c r="J23" s="64"/>
      <c r="K23" s="84" t="s">
        <v>495</v>
      </c>
      <c r="L23" s="63" t="s">
        <v>641</v>
      </c>
      <c r="M23" s="85">
        <v>44501</v>
      </c>
      <c r="N23" s="85">
        <v>44681</v>
      </c>
    </row>
    <row r="24" spans="1:14" s="30" customFormat="1" ht="64" x14ac:dyDescent="0.2">
      <c r="A24" s="65" t="s">
        <v>137</v>
      </c>
      <c r="B24" s="65" t="s">
        <v>72</v>
      </c>
      <c r="C24" s="63" t="s">
        <v>32</v>
      </c>
      <c r="D24" s="68">
        <f>Table810[[#This Row],[GBP - Amount]]*$D$2</f>
        <v>298632.5</v>
      </c>
      <c r="E24" s="75">
        <v>238906</v>
      </c>
      <c r="F24" s="79">
        <f>Table810[[#This Row],[Total US$ ]]*$F$1</f>
        <v>5258918.3250000002</v>
      </c>
      <c r="G24" s="65" t="s">
        <v>387</v>
      </c>
      <c r="H24" s="76" t="s">
        <v>531</v>
      </c>
      <c r="I24" s="76"/>
      <c r="J24" s="76"/>
      <c r="K24" s="84" t="s">
        <v>495</v>
      </c>
      <c r="L24" s="63" t="s">
        <v>309</v>
      </c>
      <c r="M24" s="86">
        <v>44866</v>
      </c>
      <c r="N24" s="86">
        <v>45107</v>
      </c>
    </row>
    <row r="25" spans="1:14" s="30" customFormat="1" ht="96" x14ac:dyDescent="0.2">
      <c r="A25" s="65" t="s">
        <v>138</v>
      </c>
      <c r="B25" s="65" t="s">
        <v>72</v>
      </c>
      <c r="C25" s="63" t="s">
        <v>32</v>
      </c>
      <c r="D25" s="68">
        <f>Table810[[#This Row],[GBP - Amount]]*$D$2</f>
        <v>95768.75</v>
      </c>
      <c r="E25" s="74">
        <v>76615</v>
      </c>
      <c r="F25" s="79">
        <f>Table810[[#This Row],[Total US$ ]]*$F$1</f>
        <v>1686487.6875</v>
      </c>
      <c r="G25" s="65" t="s">
        <v>387</v>
      </c>
      <c r="H25" s="76" t="s">
        <v>610</v>
      </c>
      <c r="I25" s="64"/>
      <c r="J25" s="64"/>
      <c r="K25" s="84" t="s">
        <v>495</v>
      </c>
      <c r="L25" s="63" t="s">
        <v>310</v>
      </c>
      <c r="M25" s="86">
        <v>44866</v>
      </c>
      <c r="N25" s="86">
        <v>45107</v>
      </c>
    </row>
    <row r="26" spans="1:14" s="30" customFormat="1" ht="128" x14ac:dyDescent="0.2">
      <c r="A26" s="65" t="s">
        <v>139</v>
      </c>
      <c r="B26" s="65" t="s">
        <v>468</v>
      </c>
      <c r="C26" s="63" t="s">
        <v>611</v>
      </c>
      <c r="D26" s="68">
        <f>Table810[[#This Row],[GBP - Amount]]*$D$2</f>
        <v>249013.75</v>
      </c>
      <c r="E26" s="75">
        <v>199211</v>
      </c>
      <c r="F26" s="79">
        <f>Table810[[#This Row],[Total US$ ]]*$F$1</f>
        <v>4385132.1375000002</v>
      </c>
      <c r="G26" s="65" t="s">
        <v>387</v>
      </c>
      <c r="H26" s="76" t="s">
        <v>532</v>
      </c>
      <c r="I26" s="76" t="s">
        <v>593</v>
      </c>
      <c r="J26" s="76"/>
      <c r="K26" s="84" t="s">
        <v>495</v>
      </c>
      <c r="L26" s="63" t="s">
        <v>804</v>
      </c>
      <c r="M26" s="85">
        <v>44835</v>
      </c>
      <c r="N26" s="85">
        <v>45382</v>
      </c>
    </row>
    <row r="27" spans="1:14" s="30" customFormat="1" ht="96" x14ac:dyDescent="0.2">
      <c r="A27" s="65" t="s">
        <v>140</v>
      </c>
      <c r="B27" s="65" t="s">
        <v>72</v>
      </c>
      <c r="C27" s="63" t="s">
        <v>39</v>
      </c>
      <c r="D27" s="68">
        <f>Table810[[#This Row],[GBP - Amount]]*$D$2</f>
        <v>30893.502628730388</v>
      </c>
      <c r="E27" s="75">
        <v>24714.802102984311</v>
      </c>
      <c r="F27" s="79">
        <f>Table810[[#This Row],[Total US$ ]]*$F$1</f>
        <v>544034.58129194216</v>
      </c>
      <c r="G27" s="65" t="s">
        <v>387</v>
      </c>
      <c r="H27" s="76" t="s">
        <v>533</v>
      </c>
      <c r="I27" s="76" t="s">
        <v>593</v>
      </c>
      <c r="J27" s="76"/>
      <c r="K27" s="84" t="s">
        <v>495</v>
      </c>
      <c r="L27" s="63" t="s">
        <v>642</v>
      </c>
      <c r="M27" s="86">
        <v>44501</v>
      </c>
      <c r="N27" s="85">
        <v>44582</v>
      </c>
    </row>
    <row r="28" spans="1:14" s="30" customFormat="1" ht="80" x14ac:dyDescent="0.2">
      <c r="A28" s="65" t="s">
        <v>141</v>
      </c>
      <c r="B28" s="65" t="s">
        <v>72</v>
      </c>
      <c r="C28" s="63" t="s">
        <v>40</v>
      </c>
      <c r="D28" s="68">
        <f>Table810[[#This Row],[GBP - Amount]]*$D$2</f>
        <v>48981.25</v>
      </c>
      <c r="E28" s="75">
        <v>39185</v>
      </c>
      <c r="F28" s="79">
        <f>Table810[[#This Row],[Total US$ ]]*$F$1</f>
        <v>862559.8125</v>
      </c>
      <c r="G28" s="65" t="s">
        <v>387</v>
      </c>
      <c r="H28" s="64" t="s">
        <v>534</v>
      </c>
      <c r="I28" s="7" t="s">
        <v>612</v>
      </c>
      <c r="J28" s="64"/>
      <c r="K28" s="84" t="s">
        <v>495</v>
      </c>
      <c r="L28" s="63" t="s">
        <v>643</v>
      </c>
      <c r="M28" s="85">
        <v>44501</v>
      </c>
      <c r="N28" s="85">
        <v>45199</v>
      </c>
    </row>
    <row r="29" spans="1:14" s="30" customFormat="1" ht="80" x14ac:dyDescent="0.2">
      <c r="A29" s="65" t="s">
        <v>142</v>
      </c>
      <c r="B29" s="65" t="s">
        <v>72</v>
      </c>
      <c r="C29" s="63" t="s">
        <v>41</v>
      </c>
      <c r="D29" s="68">
        <f>Table810[[#This Row],[GBP - Amount]]*$D$2</f>
        <v>230622.5</v>
      </c>
      <c r="E29" s="75">
        <v>184498</v>
      </c>
      <c r="F29" s="79">
        <f>Table810[[#This Row],[Total US$ ]]*$F$1</f>
        <v>4061262.2250000001</v>
      </c>
      <c r="G29" s="65" t="s">
        <v>387</v>
      </c>
      <c r="H29" s="64" t="s">
        <v>535</v>
      </c>
      <c r="I29" s="7" t="s">
        <v>612</v>
      </c>
      <c r="J29" s="64"/>
      <c r="K29" s="84" t="s">
        <v>495</v>
      </c>
      <c r="L29" s="84" t="s">
        <v>644</v>
      </c>
      <c r="M29" s="86">
        <v>44501</v>
      </c>
      <c r="N29" s="85">
        <v>45015</v>
      </c>
    </row>
    <row r="30" spans="1:14" s="30" customFormat="1" ht="48" x14ac:dyDescent="0.2">
      <c r="A30" s="65" t="s">
        <v>143</v>
      </c>
      <c r="B30" s="65" t="s">
        <v>72</v>
      </c>
      <c r="C30" s="63" t="s">
        <v>42</v>
      </c>
      <c r="D30" s="68">
        <f>Table810[[#This Row],[GBP - Amount]]*$D$2</f>
        <v>87500</v>
      </c>
      <c r="E30" s="75">
        <v>70000</v>
      </c>
      <c r="F30" s="79">
        <f>Table810[[#This Row],[Total US$ ]]*$F$1</f>
        <v>1540875</v>
      </c>
      <c r="G30" s="65" t="s">
        <v>387</v>
      </c>
      <c r="H30" s="76" t="s">
        <v>536</v>
      </c>
      <c r="I30" s="76"/>
      <c r="J30" s="76"/>
      <c r="K30" s="84" t="s">
        <v>495</v>
      </c>
      <c r="L30" s="63" t="s">
        <v>311</v>
      </c>
      <c r="M30" s="85">
        <v>44927</v>
      </c>
      <c r="N30" s="85">
        <v>45291</v>
      </c>
    </row>
    <row r="31" spans="1:14" s="30" customFormat="1" ht="128" x14ac:dyDescent="0.2">
      <c r="A31" s="65" t="s">
        <v>144</v>
      </c>
      <c r="B31" s="65" t="s">
        <v>72</v>
      </c>
      <c r="C31" s="63" t="s">
        <v>43</v>
      </c>
      <c r="D31" s="68">
        <f>Table810[[#This Row],[GBP - Amount]]*$D$2</f>
        <v>1189304.4350000001</v>
      </c>
      <c r="E31" s="74">
        <v>951443.54799999995</v>
      </c>
      <c r="F31" s="79">
        <f>Table810[[#This Row],[Total US$ ]]*$F$1</f>
        <v>20943651.10035</v>
      </c>
      <c r="G31" s="65" t="s">
        <v>387</v>
      </c>
      <c r="H31" s="76" t="s">
        <v>537</v>
      </c>
      <c r="I31" s="76"/>
      <c r="J31" s="76"/>
      <c r="K31" s="84" t="s">
        <v>494</v>
      </c>
      <c r="L31" s="63" t="s">
        <v>428</v>
      </c>
      <c r="M31" s="85">
        <v>44501</v>
      </c>
      <c r="N31" s="85">
        <v>46387</v>
      </c>
    </row>
    <row r="32" spans="1:14" s="30" customFormat="1" ht="64" x14ac:dyDescent="0.2">
      <c r="A32" s="65" t="s">
        <v>145</v>
      </c>
      <c r="B32" s="65" t="s">
        <v>72</v>
      </c>
      <c r="C32" s="63" t="s">
        <v>46</v>
      </c>
      <c r="D32" s="68">
        <f>Table810[[#This Row],[GBP - Amount]]*$D$2</f>
        <v>874731.25</v>
      </c>
      <c r="E32" s="75">
        <v>699785</v>
      </c>
      <c r="F32" s="79">
        <f>Table810[[#This Row],[Total US$ ]]*$F$1</f>
        <v>15404017.3125</v>
      </c>
      <c r="G32" s="65" t="s">
        <v>387</v>
      </c>
      <c r="H32" s="64" t="s">
        <v>538</v>
      </c>
      <c r="I32" s="64" t="s">
        <v>613</v>
      </c>
      <c r="J32" s="64"/>
      <c r="K32" s="84" t="s">
        <v>494</v>
      </c>
      <c r="L32" s="63" t="s">
        <v>312</v>
      </c>
      <c r="M32" s="85">
        <v>45139</v>
      </c>
      <c r="N32" s="85">
        <v>46111</v>
      </c>
    </row>
    <row r="33" spans="1:14" s="30" customFormat="1" ht="48" x14ac:dyDescent="0.2">
      <c r="A33" s="65" t="s">
        <v>146</v>
      </c>
      <c r="B33" s="65" t="s">
        <v>73</v>
      </c>
      <c r="C33" s="63" t="s">
        <v>9</v>
      </c>
      <c r="D33" s="68">
        <f>Table810[[#This Row],[GBP - Amount]]*$D$2</f>
        <v>123494.375</v>
      </c>
      <c r="E33" s="75">
        <v>98795.5</v>
      </c>
      <c r="F33" s="79">
        <f>Table810[[#This Row],[Total US$ ]]*$F$1</f>
        <v>2174735.9437500001</v>
      </c>
      <c r="G33" s="65" t="s">
        <v>387</v>
      </c>
      <c r="H33" s="76" t="s">
        <v>539</v>
      </c>
      <c r="I33" s="76"/>
      <c r="J33" s="76"/>
      <c r="K33" s="127" t="s">
        <v>494</v>
      </c>
      <c r="L33" s="63" t="s">
        <v>313</v>
      </c>
      <c r="M33" s="85">
        <v>45170</v>
      </c>
      <c r="N33" s="113">
        <v>46603</v>
      </c>
    </row>
    <row r="34" spans="1:14" s="2" customFormat="1" ht="80" x14ac:dyDescent="0.2">
      <c r="A34" s="65" t="s">
        <v>515</v>
      </c>
      <c r="B34" s="65" t="s">
        <v>56</v>
      </c>
      <c r="C34" s="62" t="s">
        <v>546</v>
      </c>
      <c r="D34" s="68">
        <f>Table810[[#This Row],[GBP - Amount]]*$D$2</f>
        <v>564541.25</v>
      </c>
      <c r="E34" s="75">
        <v>451633</v>
      </c>
      <c r="F34" s="79">
        <f>Table810[[#This Row],[Total US$ ]]*$F$1</f>
        <v>9941571.4124999996</v>
      </c>
      <c r="G34" s="65" t="s">
        <v>387</v>
      </c>
      <c r="H34" s="64" t="s">
        <v>547</v>
      </c>
      <c r="I34" s="76" t="s">
        <v>614</v>
      </c>
      <c r="J34" s="76" t="s">
        <v>615</v>
      </c>
      <c r="K34" s="114" t="s">
        <v>494</v>
      </c>
      <c r="L34" s="63" t="s">
        <v>645</v>
      </c>
      <c r="M34" s="86">
        <v>45352</v>
      </c>
      <c r="N34" s="86">
        <v>45838</v>
      </c>
    </row>
    <row r="35" spans="1:14" s="30" customFormat="1" ht="96" x14ac:dyDescent="0.2">
      <c r="A35" s="65" t="s">
        <v>417</v>
      </c>
      <c r="B35" s="65" t="s">
        <v>56</v>
      </c>
      <c r="C35" s="63" t="s">
        <v>25</v>
      </c>
      <c r="D35" s="68">
        <f>Table810[[#This Row],[GBP - Amount]]*$D$2</f>
        <v>579407.5</v>
      </c>
      <c r="E35" s="74">
        <v>463526</v>
      </c>
      <c r="F35" s="67">
        <f>Table810[[#This Row],[Total US$ ]]*$F$1</f>
        <v>10203366.074999999</v>
      </c>
      <c r="G35" s="65" t="s">
        <v>387</v>
      </c>
      <c r="H35" s="76" t="s">
        <v>526</v>
      </c>
      <c r="I35" s="76" t="s">
        <v>616</v>
      </c>
      <c r="J35" s="76"/>
      <c r="K35" s="84" t="s">
        <v>494</v>
      </c>
      <c r="L35" s="63" t="s">
        <v>646</v>
      </c>
      <c r="M35" s="85">
        <v>45323</v>
      </c>
      <c r="N35" s="85">
        <v>45930</v>
      </c>
    </row>
    <row r="36" spans="1:14" s="30" customFormat="1" ht="96" x14ac:dyDescent="0.2">
      <c r="A36" s="65" t="s">
        <v>418</v>
      </c>
      <c r="B36" s="65" t="s">
        <v>70</v>
      </c>
      <c r="C36" s="63" t="s">
        <v>28</v>
      </c>
      <c r="D36" s="68">
        <f>Table810[[#This Row],[GBP - Amount]]*$D$2</f>
        <v>1245680</v>
      </c>
      <c r="E36" s="74">
        <v>996544</v>
      </c>
      <c r="F36" s="67">
        <f>Table810[[#This Row],[Total US$ ]]*$F$1</f>
        <v>21936424.800000001</v>
      </c>
      <c r="G36" s="65" t="s">
        <v>387</v>
      </c>
      <c r="H36" s="76" t="s">
        <v>540</v>
      </c>
      <c r="I36" s="76" t="s">
        <v>617</v>
      </c>
      <c r="J36" s="76" t="s">
        <v>618</v>
      </c>
      <c r="K36" s="84" t="s">
        <v>494</v>
      </c>
      <c r="L36" s="63" t="s">
        <v>647</v>
      </c>
      <c r="M36" s="85">
        <v>45323</v>
      </c>
      <c r="N36" s="85">
        <v>46003</v>
      </c>
    </row>
    <row r="37" spans="1:14" s="30" customFormat="1" ht="128" x14ac:dyDescent="0.2">
      <c r="A37" s="65" t="s">
        <v>147</v>
      </c>
      <c r="B37" s="65" t="s">
        <v>70</v>
      </c>
      <c r="C37" s="63" t="s">
        <v>102</v>
      </c>
      <c r="D37" s="68">
        <f>Table810[[#This Row],[GBP - Amount]]*$D$2</f>
        <v>68837.5625</v>
      </c>
      <c r="E37" s="75">
        <v>55070.05</v>
      </c>
      <c r="F37" s="79">
        <f>Table810[[#This Row],[Total US$ ]]*$F$1</f>
        <v>1212229.475625</v>
      </c>
      <c r="G37" s="65" t="s">
        <v>387</v>
      </c>
      <c r="H37" s="76" t="s">
        <v>541</v>
      </c>
      <c r="I37" s="76" t="s">
        <v>612</v>
      </c>
      <c r="J37" s="76"/>
      <c r="K37" s="84" t="s">
        <v>495</v>
      </c>
      <c r="L37" s="63" t="s">
        <v>648</v>
      </c>
      <c r="M37" s="85">
        <v>45170</v>
      </c>
      <c r="N37" s="85">
        <v>45260</v>
      </c>
    </row>
    <row r="38" spans="1:14" s="2" customFormat="1" ht="80" x14ac:dyDescent="0.2">
      <c r="A38" s="65" t="s">
        <v>148</v>
      </c>
      <c r="B38" s="65" t="s">
        <v>73</v>
      </c>
      <c r="C38" s="63" t="s">
        <v>103</v>
      </c>
      <c r="D38" s="68">
        <f>Table810[[#This Row],[GBP - Amount]]*$D$2</f>
        <v>36801.25</v>
      </c>
      <c r="E38" s="75">
        <v>29441</v>
      </c>
      <c r="F38" s="79">
        <f>Table810[[#This Row],[Total US$ ]]*$F$1</f>
        <v>648070.01249999995</v>
      </c>
      <c r="G38" s="65" t="s">
        <v>387</v>
      </c>
      <c r="H38" s="76" t="s">
        <v>619</v>
      </c>
      <c r="I38" s="76"/>
      <c r="J38" s="76" t="s">
        <v>620</v>
      </c>
      <c r="K38" s="84" t="s">
        <v>494</v>
      </c>
      <c r="L38" s="63" t="s">
        <v>314</v>
      </c>
      <c r="M38" s="85">
        <v>45170</v>
      </c>
      <c r="N38" s="85">
        <v>45717</v>
      </c>
    </row>
    <row r="39" spans="1:14" s="2" customFormat="1" ht="80" x14ac:dyDescent="0.2">
      <c r="A39" s="65" t="s">
        <v>385</v>
      </c>
      <c r="B39" s="65" t="s">
        <v>73</v>
      </c>
      <c r="C39" s="62" t="s">
        <v>383</v>
      </c>
      <c r="D39" s="68">
        <f>Table810[[#This Row],[GBP - Amount]]*$D$2</f>
        <v>1625000</v>
      </c>
      <c r="E39" s="74">
        <v>1300000</v>
      </c>
      <c r="F39" s="79">
        <f>Table810[[#This Row],[Total US$ ]]*$F$1</f>
        <v>28616250</v>
      </c>
      <c r="G39" s="65" t="s">
        <v>387</v>
      </c>
      <c r="H39" s="76" t="s">
        <v>384</v>
      </c>
      <c r="I39" s="76"/>
      <c r="J39" s="76" t="s">
        <v>621</v>
      </c>
      <c r="K39" s="84" t="s">
        <v>494</v>
      </c>
      <c r="L39" s="128" t="s">
        <v>632</v>
      </c>
      <c r="M39" s="85">
        <v>45108</v>
      </c>
      <c r="N39" s="85">
        <v>45747</v>
      </c>
    </row>
    <row r="40" spans="1:14" s="34" customFormat="1" ht="272" x14ac:dyDescent="0.2">
      <c r="A40" s="65" t="s">
        <v>236</v>
      </c>
      <c r="B40" s="65" t="s">
        <v>73</v>
      </c>
      <c r="C40" s="62" t="s">
        <v>240</v>
      </c>
      <c r="D40" s="68">
        <f>Table810[[#This Row],[GBP - Amount]]*$D$2</f>
        <v>1173720</v>
      </c>
      <c r="E40" s="74">
        <v>938976</v>
      </c>
      <c r="F40" s="67">
        <f>Table810[[#This Row],[Total US$ ]]*$F$1</f>
        <v>20669209.199999999</v>
      </c>
      <c r="G40" s="65" t="s">
        <v>387</v>
      </c>
      <c r="H40" s="76" t="s">
        <v>241</v>
      </c>
      <c r="I40" s="76"/>
      <c r="J40" s="76" t="s">
        <v>622</v>
      </c>
      <c r="K40" s="84" t="s">
        <v>494</v>
      </c>
      <c r="L40" s="63" t="s">
        <v>649</v>
      </c>
      <c r="M40" s="85">
        <v>45139</v>
      </c>
      <c r="N40" s="85">
        <v>46112</v>
      </c>
    </row>
    <row r="41" spans="1:14" s="57" customFormat="1" ht="288" x14ac:dyDescent="0.2">
      <c r="A41" s="65" t="s">
        <v>237</v>
      </c>
      <c r="B41" s="65" t="s">
        <v>73</v>
      </c>
      <c r="C41" s="63" t="s">
        <v>292</v>
      </c>
      <c r="D41" s="68">
        <f>Table810[[#This Row],[GBP - Amount]]*$D$2</f>
        <v>375000</v>
      </c>
      <c r="E41" s="75">
        <v>300000</v>
      </c>
      <c r="F41" s="79">
        <f>Table810[[#This Row],[Total US$ ]]*$F$1</f>
        <v>6603750</v>
      </c>
      <c r="G41" s="65" t="s">
        <v>387</v>
      </c>
      <c r="H41" s="76" t="s">
        <v>631</v>
      </c>
      <c r="I41" s="76"/>
      <c r="J41" s="76"/>
      <c r="K41" s="84" t="s">
        <v>494</v>
      </c>
      <c r="L41" s="63" t="s">
        <v>429</v>
      </c>
      <c r="M41" s="85">
        <v>45139</v>
      </c>
      <c r="N41" s="85">
        <v>45626</v>
      </c>
    </row>
    <row r="42" spans="1:14" s="57" customFormat="1" ht="64" x14ac:dyDescent="0.2">
      <c r="A42" s="65" t="s">
        <v>419</v>
      </c>
      <c r="B42" s="65" t="s">
        <v>56</v>
      </c>
      <c r="C42" s="63" t="s">
        <v>623</v>
      </c>
      <c r="D42" s="68">
        <f>Table810[[#This Row],[GBP - Amount]]*$D$2</f>
        <v>1250000</v>
      </c>
      <c r="E42" s="74">
        <v>1000000</v>
      </c>
      <c r="F42" s="67">
        <f>Table810[[#This Row],[Total US$ ]]*$F$1</f>
        <v>22012500</v>
      </c>
      <c r="G42" s="65" t="s">
        <v>387</v>
      </c>
      <c r="H42" s="76" t="s">
        <v>542</v>
      </c>
      <c r="I42" s="76" t="s">
        <v>624</v>
      </c>
      <c r="J42" s="76"/>
      <c r="K42" s="84" t="s">
        <v>494</v>
      </c>
      <c r="L42" s="63" t="s">
        <v>420</v>
      </c>
      <c r="M42" s="85">
        <v>45078</v>
      </c>
      <c r="N42" s="85">
        <v>46598</v>
      </c>
    </row>
    <row r="43" spans="1:14" s="57" customFormat="1" ht="96" x14ac:dyDescent="0.2">
      <c r="A43" s="65" t="s">
        <v>421</v>
      </c>
      <c r="B43" s="65" t="s">
        <v>72</v>
      </c>
      <c r="C43" s="63" t="s">
        <v>39</v>
      </c>
      <c r="D43" s="68">
        <f>Table810[[#This Row],[GBP - Amount]]*$D$2</f>
        <v>87500</v>
      </c>
      <c r="E43" s="74">
        <v>70000</v>
      </c>
      <c r="F43" s="79">
        <f>Table810[[#This Row],[Total US$ ]]*$F$1</f>
        <v>1540875</v>
      </c>
      <c r="G43" s="65" t="s">
        <v>387</v>
      </c>
      <c r="H43" s="76" t="s">
        <v>543</v>
      </c>
      <c r="I43" s="76"/>
      <c r="J43" s="76"/>
      <c r="K43" s="84" t="s">
        <v>494</v>
      </c>
      <c r="L43" s="84" t="s">
        <v>650</v>
      </c>
      <c r="M43" s="85">
        <v>45047</v>
      </c>
      <c r="N43" s="85">
        <v>46022</v>
      </c>
    </row>
    <row r="44" spans="1:14" s="30" customFormat="1" ht="216" customHeight="1" x14ac:dyDescent="0.2">
      <c r="A44" s="65" t="s">
        <v>238</v>
      </c>
      <c r="B44" s="65" t="s">
        <v>468</v>
      </c>
      <c r="C44" s="63" t="s">
        <v>242</v>
      </c>
      <c r="D44" s="68">
        <f>Table810[[#This Row],[GBP - Amount]]*$D$2</f>
        <v>2923387.1</v>
      </c>
      <c r="E44" s="74">
        <v>2338709.6800000002</v>
      </c>
      <c r="F44" s="79">
        <f>Table810[[#This Row],[Total US$ ]]*$F$1</f>
        <v>51480846.831</v>
      </c>
      <c r="G44" s="65" t="s">
        <v>387</v>
      </c>
      <c r="H44" s="76" t="s">
        <v>544</v>
      </c>
      <c r="I44" s="76" t="s">
        <v>625</v>
      </c>
      <c r="J44" s="76" t="s">
        <v>626</v>
      </c>
      <c r="K44" s="84" t="s">
        <v>494</v>
      </c>
      <c r="L44" s="63" t="s">
        <v>315</v>
      </c>
      <c r="M44" s="85">
        <v>44501</v>
      </c>
      <c r="N44" s="85">
        <v>46387</v>
      </c>
    </row>
    <row r="45" spans="1:14" s="30" customFormat="1" ht="224" x14ac:dyDescent="0.2">
      <c r="A45" s="65" t="s">
        <v>239</v>
      </c>
      <c r="B45" s="65" t="s">
        <v>468</v>
      </c>
      <c r="C45" s="63" t="s">
        <v>242</v>
      </c>
      <c r="D45" s="68">
        <f>Table810[[#This Row],[GBP - Amount]]*$D$2</f>
        <v>2923387.1</v>
      </c>
      <c r="E45" s="74">
        <v>2338709.6800000002</v>
      </c>
      <c r="F45" s="79">
        <f>Table810[[#This Row],[Total US$ ]]*$F$1</f>
        <v>51480846.831</v>
      </c>
      <c r="G45" s="65" t="s">
        <v>387</v>
      </c>
      <c r="H45" s="76" t="s">
        <v>545</v>
      </c>
      <c r="I45" s="76" t="s">
        <v>625</v>
      </c>
      <c r="J45" s="76" t="s">
        <v>626</v>
      </c>
      <c r="K45" s="84" t="s">
        <v>494</v>
      </c>
      <c r="L45" s="63" t="s">
        <v>316</v>
      </c>
      <c r="M45" s="85">
        <v>44501</v>
      </c>
      <c r="N45" s="85">
        <v>46387</v>
      </c>
    </row>
    <row r="46" spans="1:14" s="30" customFormat="1" ht="144" x14ac:dyDescent="0.2">
      <c r="A46" s="65" t="s">
        <v>473</v>
      </c>
      <c r="B46" s="65" t="s">
        <v>468</v>
      </c>
      <c r="C46" s="63" t="s">
        <v>474</v>
      </c>
      <c r="D46" s="68">
        <f>Table810[[#This Row],[GBP - Amount]]*$D$2</f>
        <v>360356.25</v>
      </c>
      <c r="E46" s="74">
        <v>288285</v>
      </c>
      <c r="F46" s="79">
        <f>Table810[[#This Row],[Total US$ ]]*$F$1</f>
        <v>6345873.5625</v>
      </c>
      <c r="G46" s="65" t="s">
        <v>387</v>
      </c>
      <c r="H46" s="76" t="s">
        <v>384</v>
      </c>
      <c r="I46" s="76" t="s">
        <v>627</v>
      </c>
      <c r="J46" s="76"/>
      <c r="K46" s="84" t="s">
        <v>495</v>
      </c>
      <c r="L46" s="63" t="s">
        <v>475</v>
      </c>
      <c r="M46" s="86">
        <v>45308</v>
      </c>
      <c r="N46" s="86">
        <v>45382</v>
      </c>
    </row>
    <row r="47" spans="1:14" s="2" customFormat="1" ht="80" x14ac:dyDescent="0.2">
      <c r="A47" s="65" t="s">
        <v>423</v>
      </c>
      <c r="B47" s="65" t="s">
        <v>73</v>
      </c>
      <c r="C47" s="63" t="s">
        <v>628</v>
      </c>
      <c r="D47" s="68">
        <f>Table810[[#This Row],[GBP - Amount]]*$D$2</f>
        <v>4873495</v>
      </c>
      <c r="E47" s="74">
        <v>3898796</v>
      </c>
      <c r="F47" s="67">
        <f>Table810[[#This Row],[Total US$ ]]*$F$1</f>
        <v>85822246.950000003</v>
      </c>
      <c r="G47" s="65" t="s">
        <v>387</v>
      </c>
      <c r="H47" s="76" t="s">
        <v>629</v>
      </c>
      <c r="I47" s="76"/>
      <c r="J47" s="76" t="s">
        <v>630</v>
      </c>
      <c r="K47" s="84" t="s">
        <v>494</v>
      </c>
      <c r="L47" s="12" t="s">
        <v>430</v>
      </c>
      <c r="M47" s="85">
        <v>45170</v>
      </c>
      <c r="N47" s="85">
        <v>46629</v>
      </c>
    </row>
    <row r="48" spans="1:14" s="2" customFormat="1" ht="272" x14ac:dyDescent="0.2">
      <c r="A48" s="65" t="s">
        <v>654</v>
      </c>
      <c r="B48" s="65" t="s">
        <v>468</v>
      </c>
      <c r="C48" s="62" t="s">
        <v>28</v>
      </c>
      <c r="D48" s="68">
        <f>Table810[[#This Row],[GBP - Amount]]*$D$2</f>
        <v>1249200</v>
      </c>
      <c r="E48" s="74">
        <v>999360</v>
      </c>
      <c r="F48" s="67">
        <f>Table810[[#This Row],[Total US$ ]]*$F$1</f>
        <v>21998412</v>
      </c>
      <c r="G48" s="65" t="s">
        <v>387</v>
      </c>
      <c r="H48" s="64" t="s">
        <v>655</v>
      </c>
      <c r="I48" s="76" t="s">
        <v>656</v>
      </c>
      <c r="J48" s="76" t="s">
        <v>657</v>
      </c>
      <c r="K48" s="84" t="s">
        <v>494</v>
      </c>
      <c r="L48" s="62" t="s">
        <v>658</v>
      </c>
      <c r="M48" s="86">
        <v>45139</v>
      </c>
      <c r="N48" s="86">
        <v>46265</v>
      </c>
    </row>
    <row r="49" spans="1:16" x14ac:dyDescent="0.2">
      <c r="A49" s="2"/>
      <c r="B49" s="91"/>
      <c r="C49" s="17"/>
      <c r="D49" s="77">
        <f>SUBTOTAL(109,Table810[Total US$ ])</f>
        <v>44335538.82897412</v>
      </c>
      <c r="E49" s="111">
        <f>SUBTOTAL(109,Table810[GBP - Amount])</f>
        <v>35468431.063179299</v>
      </c>
      <c r="F49" s="61">
        <f>SUBTOTAL(109,Table810[Total ZAR])</f>
        <v>780748838.77823436</v>
      </c>
      <c r="G49" s="91"/>
      <c r="H49" s="18"/>
      <c r="I49" s="18"/>
      <c r="J49" s="18"/>
      <c r="K49" s="92"/>
      <c r="L49" s="17"/>
      <c r="M49" s="19"/>
      <c r="N49" s="19"/>
    </row>
    <row r="50" spans="1:16" x14ac:dyDescent="0.2">
      <c r="A50" s="30"/>
      <c r="B50" s="6"/>
      <c r="C50" s="17"/>
      <c r="D50" s="28"/>
      <c r="E50" s="28"/>
      <c r="F50" s="27"/>
      <c r="G50" s="6"/>
      <c r="H50" s="18"/>
      <c r="I50" s="18"/>
      <c r="J50" s="18"/>
      <c r="K50" s="49"/>
      <c r="L50" s="17"/>
      <c r="M50" s="19"/>
      <c r="N50" s="19"/>
    </row>
    <row r="51" spans="1:16" ht="32" customHeight="1" x14ac:dyDescent="0.2">
      <c r="A51" s="230" t="s">
        <v>676</v>
      </c>
      <c r="B51" s="230"/>
      <c r="C51" s="230"/>
      <c r="D51" s="230"/>
      <c r="E51" s="230"/>
      <c r="F51" s="230"/>
      <c r="G51" s="230"/>
      <c r="H51" s="230"/>
      <c r="I51" s="230"/>
      <c r="J51" s="230"/>
      <c r="K51" s="230"/>
      <c r="L51" s="230"/>
      <c r="M51" s="230"/>
      <c r="N51" s="230"/>
      <c r="O51" s="230"/>
      <c r="P51" s="65"/>
    </row>
    <row r="52" spans="1:16" x14ac:dyDescent="0.2">
      <c r="B52" s="1"/>
      <c r="E52" s="1"/>
      <c r="F52" s="1"/>
      <c r="G52" s="8"/>
      <c r="H52" s="1"/>
      <c r="I52" s="1"/>
      <c r="J52" s="1"/>
      <c r="K52" s="1"/>
      <c r="L52" s="3"/>
      <c r="N52" s="17"/>
      <c r="O52" s="19"/>
      <c r="P52" s="19"/>
    </row>
    <row r="53" spans="1:16" ht="15" customHeight="1" x14ac:dyDescent="0.2">
      <c r="A53" s="230" t="s">
        <v>561</v>
      </c>
      <c r="B53" s="230"/>
      <c r="C53" s="230"/>
      <c r="D53" s="230"/>
      <c r="E53" s="230"/>
      <c r="F53" s="230"/>
      <c r="G53" s="230"/>
      <c r="H53" s="230"/>
      <c r="I53" s="230"/>
      <c r="J53" s="230"/>
      <c r="K53" s="230"/>
      <c r="L53" s="230"/>
      <c r="M53" s="230"/>
      <c r="N53" s="17"/>
      <c r="O53" s="19"/>
      <c r="P53" s="19"/>
    </row>
    <row r="55" spans="1:16" x14ac:dyDescent="0.2">
      <c r="A55" s="2" t="s">
        <v>502</v>
      </c>
    </row>
    <row r="56" spans="1:16" x14ac:dyDescent="0.2">
      <c r="A56" s="30"/>
      <c r="B56" s="6"/>
      <c r="C56" s="17"/>
      <c r="D56" s="28"/>
      <c r="E56" s="28"/>
      <c r="F56" s="27"/>
      <c r="G56" s="6"/>
      <c r="H56" s="18"/>
      <c r="I56" s="18"/>
      <c r="J56" s="18"/>
      <c r="K56" s="49"/>
      <c r="L56" s="17"/>
      <c r="M56" s="19"/>
      <c r="N56" s="19"/>
    </row>
    <row r="57" spans="1:16" x14ac:dyDescent="0.2">
      <c r="A57" s="30"/>
      <c r="B57" s="6"/>
      <c r="C57" s="17"/>
      <c r="D57" s="28"/>
      <c r="E57" s="28"/>
      <c r="F57" s="27"/>
      <c r="G57" s="6"/>
      <c r="H57" s="18"/>
      <c r="I57" s="18"/>
      <c r="J57" s="18"/>
      <c r="K57" s="49"/>
      <c r="L57" s="17"/>
      <c r="M57" s="19"/>
      <c r="N57" s="19"/>
    </row>
    <row r="58" spans="1:16" x14ac:dyDescent="0.2">
      <c r="A58" s="30"/>
      <c r="B58" s="6"/>
      <c r="C58" s="17"/>
      <c r="D58" s="28"/>
      <c r="E58" s="28"/>
      <c r="F58" s="27"/>
      <c r="G58" s="6"/>
      <c r="H58" s="18"/>
      <c r="I58" s="18"/>
      <c r="J58" s="18"/>
      <c r="K58" s="49"/>
      <c r="L58" s="17"/>
      <c r="M58" s="19"/>
      <c r="N58" s="19"/>
    </row>
    <row r="59" spans="1:16" x14ac:dyDescent="0.2">
      <c r="A59" s="30"/>
      <c r="B59" s="6"/>
      <c r="C59" s="17"/>
      <c r="D59" s="28"/>
      <c r="E59" s="28"/>
      <c r="F59" s="27"/>
      <c r="G59" s="6"/>
      <c r="H59" s="18"/>
      <c r="I59" s="18"/>
      <c r="J59" s="18"/>
      <c r="K59" s="49"/>
      <c r="L59" s="17"/>
      <c r="M59" s="19"/>
      <c r="N59" s="19"/>
    </row>
    <row r="60" spans="1:16" x14ac:dyDescent="0.2">
      <c r="A60" s="30"/>
      <c r="B60" s="6"/>
      <c r="C60" s="17"/>
      <c r="D60" s="28"/>
      <c r="E60" s="28"/>
      <c r="F60" s="27"/>
      <c r="G60" s="6"/>
      <c r="H60" s="18"/>
      <c r="I60" s="18"/>
      <c r="J60" s="18"/>
      <c r="K60" s="49"/>
      <c r="L60" s="17"/>
      <c r="M60" s="19"/>
      <c r="N60" s="19"/>
    </row>
    <row r="61" spans="1:16" x14ac:dyDescent="0.2">
      <c r="A61" s="30"/>
      <c r="B61" s="6"/>
      <c r="C61" s="17"/>
      <c r="D61" s="28"/>
      <c r="E61" s="28"/>
      <c r="F61" s="27"/>
      <c r="G61" s="6"/>
      <c r="H61" s="18"/>
      <c r="I61" s="18"/>
      <c r="J61" s="18"/>
      <c r="K61" s="49"/>
      <c r="L61" s="17"/>
      <c r="M61" s="19"/>
      <c r="N61" s="19"/>
    </row>
    <row r="62" spans="1:16" x14ac:dyDescent="0.2">
      <c r="A62" s="30"/>
      <c r="B62" s="6"/>
      <c r="C62" s="17"/>
      <c r="D62" s="28"/>
      <c r="E62" s="28"/>
      <c r="F62" s="27"/>
      <c r="G62" s="6"/>
      <c r="H62" s="18"/>
      <c r="I62" s="18"/>
      <c r="J62" s="18"/>
      <c r="K62" s="49"/>
      <c r="L62" s="17"/>
      <c r="M62" s="19"/>
      <c r="N62" s="19"/>
    </row>
    <row r="63" spans="1:16" x14ac:dyDescent="0.2">
      <c r="A63" s="30"/>
      <c r="B63" s="6"/>
      <c r="C63" s="17"/>
      <c r="D63" s="28"/>
      <c r="E63" s="28"/>
      <c r="F63" s="27"/>
      <c r="G63" s="6"/>
      <c r="H63" s="18"/>
      <c r="I63" s="18"/>
      <c r="J63" s="18"/>
      <c r="K63" s="49"/>
      <c r="L63" s="17"/>
      <c r="M63" s="19"/>
      <c r="N63" s="19"/>
    </row>
    <row r="64" spans="1:16"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sheetData>
  <mergeCells count="3">
    <mergeCell ref="F1:F2"/>
    <mergeCell ref="A53:M53"/>
    <mergeCell ref="A51:O51"/>
  </mergeCells>
  <phoneticPr fontId="1" type="noConversion"/>
  <pageMargins left="0.7" right="0.7" top="0.75" bottom="0.75" header="0.3" footer="0.3"/>
  <pageSetup paperSize="9" orientation="portrait" horizontalDpi="0" verticalDpi="0"/>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C7506F83-835F-D64E-BEE7-F70C08FBD2EF}">
          <x14:formula1>
            <xm:f>Dropdowns!$I$2:$I$15</xm:f>
          </x14:formula1>
          <xm:sqref>G50 G56:G136 G4:G48</xm:sqref>
        </x14:dataValidation>
        <x14:dataValidation type="list" allowBlank="1" showInputMessage="1" showErrorMessage="1" xr:uid="{201FF332-CC36-824B-AFB1-EDB50EE67AA3}">
          <x14:formula1>
            <xm:f>Dropdowns!$C$2:$C$7</xm:f>
          </x14:formula1>
          <xm:sqref>B50 B56:B136 B4:B48</xm:sqref>
        </x14:dataValidation>
        <x14:dataValidation type="list" allowBlank="1" showInputMessage="1" showErrorMessage="1" xr:uid="{D616FBA0-F2A2-C74D-B9E8-7D2041B6DF5E}">
          <x14:formula1>
            <xm:f>Dropdowns!$K$2:$K$4</xm:f>
          </x14:formula1>
          <xm:sqref>K50 K56:K136</xm:sqref>
        </x14:dataValidation>
        <x14:dataValidation type="list" allowBlank="1" showInputMessage="1" showErrorMessage="1" xr:uid="{8BB5D670-181E-1446-9EA6-68897A2FA53A}">
          <x14:formula1>
            <xm:f>Dropdowns!$K$2:$K$5</xm:f>
          </x14:formula1>
          <xm:sqref>K4:K33 K35:K48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C9AB4-7C6E-7B4E-B7C6-D15D0139B248}">
  <dimension ref="A1:P150"/>
  <sheetViews>
    <sheetView showGridLines="0" zoomScale="120" zoomScaleNormal="120" workbookViewId="0">
      <pane xSplit="1" ySplit="3" topLeftCell="B4" activePane="bottomRight" state="frozen"/>
      <selection pane="topRight" activeCell="B1" sqref="B1"/>
      <selection pane="bottomLeft" activeCell="A4" sqref="A4"/>
      <selection pane="bottomRight" activeCell="A2" sqref="A2"/>
    </sheetView>
  </sheetViews>
  <sheetFormatPr baseColWidth="10" defaultRowHeight="15" x14ac:dyDescent="0.2"/>
  <cols>
    <col min="1" max="1" width="11.1640625" customWidth="1"/>
    <col min="2" max="2" width="20.1640625" bestFit="1" customWidth="1"/>
    <col min="3" max="3" width="24.33203125" customWidth="1"/>
    <col min="4" max="4" width="13" bestFit="1" customWidth="1"/>
    <col min="5" max="5" width="15.5" bestFit="1" customWidth="1"/>
    <col min="6" max="6" width="14.6640625" bestFit="1" customWidth="1"/>
    <col min="8" max="10" width="30.6640625" customWidth="1"/>
    <col min="11" max="11" width="16" customWidth="1"/>
    <col min="12" max="12" width="51.83203125" customWidth="1"/>
    <col min="13" max="13" width="24" bestFit="1" customWidth="1"/>
    <col min="14" max="14" width="26.33203125" bestFit="1" customWidth="1"/>
  </cols>
  <sheetData>
    <row r="1" spans="1:14" x14ac:dyDescent="0.2">
      <c r="D1" s="53" t="s">
        <v>62</v>
      </c>
      <c r="F1" s="232">
        <v>17.61</v>
      </c>
    </row>
    <row r="2" spans="1:14" ht="16" thickBot="1" x14ac:dyDescent="0.25">
      <c r="D2" s="52">
        <v>1.08</v>
      </c>
      <c r="F2" s="233"/>
    </row>
    <row r="3" spans="1:14" ht="16" x14ac:dyDescent="0.2">
      <c r="A3" t="s">
        <v>104</v>
      </c>
      <c r="B3" s="105" t="s">
        <v>467</v>
      </c>
      <c r="C3" s="106" t="s">
        <v>469</v>
      </c>
      <c r="D3" s="44" t="s">
        <v>176</v>
      </c>
      <c r="E3" s="44" t="s">
        <v>234</v>
      </c>
      <c r="F3" s="44" t="s">
        <v>38</v>
      </c>
      <c r="G3" s="44" t="s">
        <v>95</v>
      </c>
      <c r="H3" s="107" t="s">
        <v>350</v>
      </c>
      <c r="I3" s="126" t="s">
        <v>565</v>
      </c>
      <c r="J3" s="126" t="s">
        <v>566</v>
      </c>
      <c r="K3" s="108" t="s">
        <v>470</v>
      </c>
      <c r="L3" s="109" t="s">
        <v>472</v>
      </c>
      <c r="M3" s="45" t="s">
        <v>496</v>
      </c>
      <c r="N3" s="45" t="s">
        <v>497</v>
      </c>
    </row>
    <row r="4" spans="1:14" s="34" customFormat="1" ht="48" x14ac:dyDescent="0.2">
      <c r="A4" s="65" t="s">
        <v>400</v>
      </c>
      <c r="B4" s="65" t="s">
        <v>468</v>
      </c>
      <c r="C4" s="62" t="s">
        <v>0</v>
      </c>
      <c r="D4" s="90">
        <f>Table81012[[#This Row],[Euro - Amounts]]*$D$2</f>
        <v>7560000.0000000009</v>
      </c>
      <c r="E4" s="80">
        <v>7000000</v>
      </c>
      <c r="F4" s="79">
        <f>Table81012[[#This Row],[Total US$ ]]*$F$1</f>
        <v>133131600.00000001</v>
      </c>
      <c r="G4" s="65" t="s">
        <v>85</v>
      </c>
      <c r="H4" s="76" t="s">
        <v>401</v>
      </c>
      <c r="I4" s="65" t="s">
        <v>2</v>
      </c>
      <c r="J4" s="76"/>
      <c r="K4" s="84" t="s">
        <v>251</v>
      </c>
      <c r="L4" s="88" t="s">
        <v>410</v>
      </c>
      <c r="M4" s="85">
        <v>45838</v>
      </c>
      <c r="N4" s="85">
        <v>46022</v>
      </c>
    </row>
    <row r="5" spans="1:14" s="30" customFormat="1" ht="48" x14ac:dyDescent="0.2">
      <c r="A5" s="65" t="s">
        <v>150</v>
      </c>
      <c r="B5" s="65" t="s">
        <v>468</v>
      </c>
      <c r="C5" s="62" t="s">
        <v>256</v>
      </c>
      <c r="D5" s="68">
        <f>Table81012[[#This Row],[Euro - Amounts]]*$D$2</f>
        <v>10260000</v>
      </c>
      <c r="E5" s="80">
        <v>9500000</v>
      </c>
      <c r="F5" s="79">
        <f>Table81012[[#This Row],[Total US$ ]]*$F$1</f>
        <v>180678600</v>
      </c>
      <c r="G5" s="65" t="s">
        <v>85</v>
      </c>
      <c r="H5" s="76" t="s">
        <v>51</v>
      </c>
      <c r="I5" s="76" t="s">
        <v>548</v>
      </c>
      <c r="J5" s="76" t="s">
        <v>714</v>
      </c>
      <c r="K5" s="84" t="s">
        <v>494</v>
      </c>
      <c r="L5" s="63" t="s">
        <v>552</v>
      </c>
      <c r="M5" s="86">
        <v>44501</v>
      </c>
      <c r="N5" s="86">
        <v>46387</v>
      </c>
    </row>
    <row r="6" spans="1:14" s="30" customFormat="1" ht="112" x14ac:dyDescent="0.2">
      <c r="A6" s="65" t="s">
        <v>151</v>
      </c>
      <c r="B6" s="65" t="s">
        <v>468</v>
      </c>
      <c r="C6" s="62" t="s">
        <v>256</v>
      </c>
      <c r="D6" s="68">
        <f>Table81012[[#This Row],[Euro - Amounts]]*$D$2</f>
        <v>16740000.000000002</v>
      </c>
      <c r="E6" s="80">
        <v>15500000</v>
      </c>
      <c r="F6" s="79">
        <f>Table81012[[#This Row],[Total US$ ]]*$F$1</f>
        <v>294791400</v>
      </c>
      <c r="G6" s="65" t="s">
        <v>85</v>
      </c>
      <c r="H6" s="76" t="s">
        <v>51</v>
      </c>
      <c r="I6" s="63" t="s">
        <v>549</v>
      </c>
      <c r="J6" s="76"/>
      <c r="K6" s="84" t="s">
        <v>494</v>
      </c>
      <c r="L6" s="63" t="s">
        <v>553</v>
      </c>
      <c r="M6" s="86">
        <v>44562</v>
      </c>
      <c r="N6" s="85">
        <v>46022</v>
      </c>
    </row>
    <row r="7" spans="1:14" s="30" customFormat="1" ht="48" x14ac:dyDescent="0.2">
      <c r="A7" s="65" t="s">
        <v>152</v>
      </c>
      <c r="B7" s="65" t="s">
        <v>70</v>
      </c>
      <c r="C7" s="62" t="s">
        <v>256</v>
      </c>
      <c r="D7" s="68">
        <f>Table81012[[#This Row],[Euro - Amounts]]*$D$2</f>
        <v>3240000</v>
      </c>
      <c r="E7" s="78">
        <v>3000000</v>
      </c>
      <c r="F7" s="79">
        <f>Table81012[[#This Row],[Total US$ ]]*$F$1</f>
        <v>57056400</v>
      </c>
      <c r="G7" s="65" t="s">
        <v>85</v>
      </c>
      <c r="H7" s="76" t="s">
        <v>52</v>
      </c>
      <c r="I7" s="76" t="s">
        <v>257</v>
      </c>
      <c r="J7" s="76"/>
      <c r="K7" s="84" t="s">
        <v>494</v>
      </c>
      <c r="L7" s="63" t="s">
        <v>317</v>
      </c>
      <c r="M7" s="86">
        <v>44501</v>
      </c>
      <c r="N7" s="86">
        <v>45838</v>
      </c>
    </row>
    <row r="8" spans="1:14" s="30" customFormat="1" ht="32" x14ac:dyDescent="0.2">
      <c r="A8" s="65" t="s">
        <v>153</v>
      </c>
      <c r="B8" s="65" t="s">
        <v>468</v>
      </c>
      <c r="C8" s="62" t="s">
        <v>256</v>
      </c>
      <c r="D8" s="68">
        <f>Table81012[[#This Row],[Euro - Amounts]]*$D$2</f>
        <v>3240000</v>
      </c>
      <c r="E8" s="80">
        <v>3000000</v>
      </c>
      <c r="F8" s="79">
        <f>Table81012[[#This Row],[Total US$ ]]*$F$1</f>
        <v>57056400</v>
      </c>
      <c r="G8" s="65" t="s">
        <v>85</v>
      </c>
      <c r="H8" s="64" t="s">
        <v>353</v>
      </c>
      <c r="I8" s="64" t="s">
        <v>51</v>
      </c>
      <c r="J8" s="64"/>
      <c r="K8" s="84" t="s">
        <v>494</v>
      </c>
      <c r="L8" s="63" t="s">
        <v>318</v>
      </c>
      <c r="M8" s="86">
        <v>44501</v>
      </c>
      <c r="N8" s="85">
        <v>45657</v>
      </c>
    </row>
    <row r="9" spans="1:14" s="34" customFormat="1" ht="32" x14ac:dyDescent="0.2">
      <c r="A9" s="65" t="s">
        <v>402</v>
      </c>
      <c r="B9" s="65" t="s">
        <v>468</v>
      </c>
      <c r="C9" s="62" t="s">
        <v>256</v>
      </c>
      <c r="D9" s="90">
        <f>Table81012[[#This Row],[Euro - Amounts]]*$D$2</f>
        <v>4860000</v>
      </c>
      <c r="E9" s="80">
        <v>4500000</v>
      </c>
      <c r="F9" s="79">
        <f>Table81012[[#This Row],[Total US$ ]]*$F$1</f>
        <v>85584600</v>
      </c>
      <c r="G9" s="65" t="s">
        <v>85</v>
      </c>
      <c r="H9" s="64" t="s">
        <v>51</v>
      </c>
      <c r="I9" s="64" t="s">
        <v>403</v>
      </c>
      <c r="J9" s="64"/>
      <c r="K9" s="84" t="s">
        <v>494</v>
      </c>
      <c r="L9" s="62" t="s">
        <v>411</v>
      </c>
      <c r="M9" s="86">
        <v>45292</v>
      </c>
      <c r="N9" s="86">
        <v>46387</v>
      </c>
    </row>
    <row r="10" spans="1:14" s="30" customFormat="1" ht="176" x14ac:dyDescent="0.2">
      <c r="A10" s="65" t="s">
        <v>154</v>
      </c>
      <c r="B10" s="65" t="s">
        <v>73</v>
      </c>
      <c r="C10" s="62" t="s">
        <v>9</v>
      </c>
      <c r="D10" s="68">
        <f>Table81012[[#This Row],[Euro - Amounts]]*$D$2</f>
        <v>16200000.000000002</v>
      </c>
      <c r="E10" s="80">
        <v>15000000</v>
      </c>
      <c r="F10" s="79">
        <f>Table81012[[#This Row],[Total US$ ]]*$F$1</f>
        <v>285282000</v>
      </c>
      <c r="G10" s="65" t="s">
        <v>85</v>
      </c>
      <c r="H10" s="76" t="s">
        <v>54</v>
      </c>
      <c r="I10" s="64" t="s">
        <v>723</v>
      </c>
      <c r="J10" s="76"/>
      <c r="K10" s="84" t="s">
        <v>494</v>
      </c>
      <c r="L10" s="63" t="s">
        <v>562</v>
      </c>
      <c r="M10" s="86">
        <v>44713</v>
      </c>
      <c r="N10" s="86">
        <v>46630</v>
      </c>
    </row>
    <row r="11" spans="1:14" s="30" customFormat="1" ht="48" x14ac:dyDescent="0.2">
      <c r="A11" s="65" t="s">
        <v>155</v>
      </c>
      <c r="B11" s="65" t="s">
        <v>468</v>
      </c>
      <c r="C11" s="62" t="s">
        <v>14</v>
      </c>
      <c r="D11" s="68">
        <f>Table81012[[#This Row],[Euro - Amounts]]*$D$2</f>
        <v>21600000</v>
      </c>
      <c r="E11" s="78">
        <v>20000000</v>
      </c>
      <c r="F11" s="79">
        <f>Table81012[[#This Row],[Total US$ ]]*$F$1</f>
        <v>380376000</v>
      </c>
      <c r="G11" s="65" t="s">
        <v>85</v>
      </c>
      <c r="H11" s="64" t="s">
        <v>351</v>
      </c>
      <c r="I11" s="64" t="s">
        <v>16</v>
      </c>
      <c r="J11" s="64"/>
      <c r="K11" s="84" t="s">
        <v>494</v>
      </c>
      <c r="L11" s="63" t="s">
        <v>320</v>
      </c>
      <c r="M11" s="86">
        <v>44562</v>
      </c>
      <c r="N11" s="86">
        <v>47118</v>
      </c>
    </row>
    <row r="12" spans="1:14" s="34" customFormat="1" ht="32" x14ac:dyDescent="0.2">
      <c r="A12" s="65" t="s">
        <v>404</v>
      </c>
      <c r="B12" s="65" t="s">
        <v>468</v>
      </c>
      <c r="C12" s="62" t="s">
        <v>14</v>
      </c>
      <c r="D12" s="90">
        <f>Table81012[[#This Row],[Euro - Amounts]]*$D$2</f>
        <v>21600000</v>
      </c>
      <c r="E12" s="78">
        <v>20000000</v>
      </c>
      <c r="F12" s="79">
        <f>Table81012[[#This Row],[Total US$ ]]*$F$1</f>
        <v>380376000</v>
      </c>
      <c r="G12" s="65" t="s">
        <v>85</v>
      </c>
      <c r="H12" s="64" t="s">
        <v>405</v>
      </c>
      <c r="I12" s="64" t="s">
        <v>16</v>
      </c>
      <c r="J12" s="64"/>
      <c r="K12" s="84" t="s">
        <v>251</v>
      </c>
      <c r="L12" s="62" t="s">
        <v>412</v>
      </c>
      <c r="M12" s="86">
        <v>45292</v>
      </c>
      <c r="N12" s="86">
        <v>47848</v>
      </c>
    </row>
    <row r="13" spans="1:14" s="30" customFormat="1" ht="64" x14ac:dyDescent="0.2">
      <c r="A13" s="65" t="s">
        <v>156</v>
      </c>
      <c r="B13" s="65" t="s">
        <v>56</v>
      </c>
      <c r="C13" s="62" t="s">
        <v>23</v>
      </c>
      <c r="D13" s="68">
        <f>Table81012[[#This Row],[Euro - Amounts]]*$D$2</f>
        <v>20520000</v>
      </c>
      <c r="E13" s="80">
        <v>19000000</v>
      </c>
      <c r="F13" s="79">
        <f>Table81012[[#This Row],[Total US$ ]]*$F$1</f>
        <v>361357200</v>
      </c>
      <c r="G13" s="65" t="s">
        <v>85</v>
      </c>
      <c r="H13" s="64" t="s">
        <v>352</v>
      </c>
      <c r="I13" s="64" t="s">
        <v>258</v>
      </c>
      <c r="J13" s="64"/>
      <c r="K13" s="84" t="s">
        <v>494</v>
      </c>
      <c r="L13" s="63" t="s">
        <v>321</v>
      </c>
      <c r="M13" s="86">
        <v>44501</v>
      </c>
      <c r="N13" s="86">
        <v>46387</v>
      </c>
    </row>
    <row r="14" spans="1:14" s="30" customFormat="1" ht="32" x14ac:dyDescent="0.2">
      <c r="A14" s="65" t="s">
        <v>157</v>
      </c>
      <c r="B14" s="65" t="s">
        <v>70</v>
      </c>
      <c r="C14" s="62" t="s">
        <v>28</v>
      </c>
      <c r="D14" s="68">
        <f>Table81012[[#This Row],[Euro - Amounts]]*$D$2</f>
        <v>24840000</v>
      </c>
      <c r="E14" s="78">
        <v>23000000</v>
      </c>
      <c r="F14" s="79">
        <f>Table81012[[#This Row],[Total US$ ]]*$F$1</f>
        <v>437432400</v>
      </c>
      <c r="G14" s="65" t="s">
        <v>85</v>
      </c>
      <c r="H14" s="76" t="s">
        <v>354</v>
      </c>
      <c r="I14" s="76" t="s">
        <v>30</v>
      </c>
      <c r="J14" s="76"/>
      <c r="K14" s="84" t="s">
        <v>251</v>
      </c>
      <c r="L14" s="88" t="s">
        <v>29</v>
      </c>
      <c r="M14" s="86">
        <v>44562</v>
      </c>
      <c r="N14" s="86">
        <v>47483</v>
      </c>
    </row>
    <row r="15" spans="1:14" s="30" customFormat="1" ht="48" x14ac:dyDescent="0.2">
      <c r="A15" s="65" t="s">
        <v>158</v>
      </c>
      <c r="B15" s="65" t="s">
        <v>70</v>
      </c>
      <c r="C15" s="62" t="s">
        <v>28</v>
      </c>
      <c r="D15" s="68">
        <f>Table81012[[#This Row],[Euro - Amounts]]*$D$2</f>
        <v>16740000.000000002</v>
      </c>
      <c r="E15" s="80">
        <v>15500000</v>
      </c>
      <c r="F15" s="79">
        <f>Table81012[[#This Row],[Total US$ ]]*$F$1</f>
        <v>294791400</v>
      </c>
      <c r="G15" s="65" t="s">
        <v>85</v>
      </c>
      <c r="H15" s="76" t="s">
        <v>355</v>
      </c>
      <c r="I15" s="76" t="s">
        <v>259</v>
      </c>
      <c r="J15" s="76"/>
      <c r="K15" s="84" t="s">
        <v>494</v>
      </c>
      <c r="L15" s="63" t="s">
        <v>322</v>
      </c>
      <c r="M15" s="86">
        <v>44501</v>
      </c>
      <c r="N15" s="86">
        <v>46022</v>
      </c>
    </row>
    <row r="16" spans="1:14" s="34" customFormat="1" ht="208" x14ac:dyDescent="0.2">
      <c r="A16" s="65" t="s">
        <v>406</v>
      </c>
      <c r="B16" s="65" t="s">
        <v>72</v>
      </c>
      <c r="C16" s="62" t="s">
        <v>32</v>
      </c>
      <c r="D16" s="90">
        <f>Table81012[[#This Row],[Euro - Amounts]]*$D$2</f>
        <v>11880000</v>
      </c>
      <c r="E16" s="80">
        <v>11000000</v>
      </c>
      <c r="F16" s="79">
        <f>Table81012[[#This Row],[Total US$ ]]*$F$1</f>
        <v>209206800</v>
      </c>
      <c r="G16" s="65" t="s">
        <v>85</v>
      </c>
      <c r="H16" s="76" t="s">
        <v>424</v>
      </c>
      <c r="I16" s="76" t="s">
        <v>34</v>
      </c>
      <c r="J16" s="76"/>
      <c r="K16" s="84" t="s">
        <v>251</v>
      </c>
      <c r="L16" s="62" t="s">
        <v>413</v>
      </c>
      <c r="M16" s="86">
        <v>44927</v>
      </c>
      <c r="N16" s="86">
        <v>47117</v>
      </c>
    </row>
    <row r="17" spans="1:16" s="34" customFormat="1" ht="192" x14ac:dyDescent="0.2">
      <c r="A17" s="65" t="s">
        <v>407</v>
      </c>
      <c r="B17" s="65" t="s">
        <v>72</v>
      </c>
      <c r="C17" s="62" t="s">
        <v>32</v>
      </c>
      <c r="D17" s="90">
        <f>Table81012[[#This Row],[Euro - Amounts]]*$D$2</f>
        <v>10800000</v>
      </c>
      <c r="E17" s="80">
        <v>10000000</v>
      </c>
      <c r="F17" s="79">
        <f>Table81012[[#This Row],[Total US$ ]]*$F$1</f>
        <v>190188000</v>
      </c>
      <c r="G17" s="65" t="s">
        <v>85</v>
      </c>
      <c r="H17" s="76" t="s">
        <v>425</v>
      </c>
      <c r="I17" s="76" t="s">
        <v>408</v>
      </c>
      <c r="J17" s="76"/>
      <c r="K17" s="84" t="s">
        <v>251</v>
      </c>
      <c r="L17" s="62" t="s">
        <v>414</v>
      </c>
      <c r="M17" s="86">
        <v>45292</v>
      </c>
      <c r="N17" s="86">
        <v>47483</v>
      </c>
    </row>
    <row r="18" spans="1:16" s="30" customFormat="1" ht="48" x14ac:dyDescent="0.2">
      <c r="A18" s="65" t="s">
        <v>159</v>
      </c>
      <c r="B18" s="65" t="s">
        <v>72</v>
      </c>
      <c r="C18" s="62" t="s">
        <v>32</v>
      </c>
      <c r="D18" s="68">
        <f>Table81012[[#This Row],[Euro - Amounts]]*$D$2</f>
        <v>13500000</v>
      </c>
      <c r="E18" s="80">
        <v>12500000</v>
      </c>
      <c r="F18" s="79">
        <f>Table81012[[#This Row],[Total US$ ]]*$F$1</f>
        <v>237735000</v>
      </c>
      <c r="G18" s="65" t="s">
        <v>85</v>
      </c>
      <c r="H18" s="76" t="s">
        <v>550</v>
      </c>
      <c r="I18" s="76" t="s">
        <v>724</v>
      </c>
      <c r="J18" s="76" t="s">
        <v>715</v>
      </c>
      <c r="K18" s="84" t="s">
        <v>494</v>
      </c>
      <c r="L18" s="63" t="s">
        <v>323</v>
      </c>
      <c r="M18" s="86">
        <v>44713</v>
      </c>
      <c r="N18" s="85">
        <v>46173</v>
      </c>
    </row>
    <row r="19" spans="1:16" s="57" customFormat="1" ht="32" x14ac:dyDescent="0.2">
      <c r="A19" s="65" t="s">
        <v>160</v>
      </c>
      <c r="B19" s="65" t="s">
        <v>72</v>
      </c>
      <c r="C19" s="62" t="s">
        <v>32</v>
      </c>
      <c r="D19" s="68">
        <f>Table81012[[#This Row],[Euro - Amounts]]*$D$2</f>
        <v>6480000</v>
      </c>
      <c r="E19" s="78">
        <v>6000000</v>
      </c>
      <c r="F19" s="79">
        <f>Table81012[[#This Row],[Total US$ ]]*$F$1</f>
        <v>114112800</v>
      </c>
      <c r="G19" s="65" t="s">
        <v>85</v>
      </c>
      <c r="H19" s="76" t="s">
        <v>58</v>
      </c>
      <c r="I19" s="76" t="s">
        <v>58</v>
      </c>
      <c r="J19" s="76"/>
      <c r="K19" s="84" t="s">
        <v>495</v>
      </c>
      <c r="L19" s="62" t="s">
        <v>324</v>
      </c>
      <c r="M19" s="86">
        <v>44501</v>
      </c>
      <c r="N19" s="86">
        <v>45382</v>
      </c>
    </row>
    <row r="20" spans="1:16" s="30" customFormat="1" ht="48" x14ac:dyDescent="0.2">
      <c r="A20" s="65" t="s">
        <v>161</v>
      </c>
      <c r="B20" s="63" t="s">
        <v>56</v>
      </c>
      <c r="C20" s="63" t="s">
        <v>44</v>
      </c>
      <c r="D20" s="68">
        <f>Table81012[[#This Row],[Euro - Amounts]]*$D$2</f>
        <v>5400000</v>
      </c>
      <c r="E20" s="80">
        <v>5000000</v>
      </c>
      <c r="F20" s="79">
        <f>Table81012[[#This Row],[Total US$ ]]*$F$1</f>
        <v>95094000</v>
      </c>
      <c r="G20" s="65" t="s">
        <v>85</v>
      </c>
      <c r="H20" s="76" t="s">
        <v>357</v>
      </c>
      <c r="I20" s="76" t="s">
        <v>260</v>
      </c>
      <c r="J20" s="76"/>
      <c r="K20" s="84" t="s">
        <v>494</v>
      </c>
      <c r="L20" s="63" t="s">
        <v>325</v>
      </c>
      <c r="M20" s="85">
        <v>44562</v>
      </c>
      <c r="N20" s="85">
        <v>46387</v>
      </c>
    </row>
    <row r="21" spans="1:16" s="30" customFormat="1" ht="32" x14ac:dyDescent="0.2">
      <c r="A21" s="65" t="s">
        <v>162</v>
      </c>
      <c r="B21" s="63" t="s">
        <v>73</v>
      </c>
      <c r="C21" s="63" t="s">
        <v>45</v>
      </c>
      <c r="D21" s="68">
        <f>Table81012[[#This Row],[Euro - Amounts]]*$D$2</f>
        <v>378000</v>
      </c>
      <c r="E21" s="80">
        <v>350000</v>
      </c>
      <c r="F21" s="79">
        <f>Table81012[[#This Row],[Total US$ ]]*$F$1</f>
        <v>6656580</v>
      </c>
      <c r="G21" s="65" t="s">
        <v>85</v>
      </c>
      <c r="H21" s="76" t="s">
        <v>358</v>
      </c>
      <c r="I21" s="76" t="s">
        <v>54</v>
      </c>
      <c r="J21" s="76"/>
      <c r="K21" s="84" t="s">
        <v>494</v>
      </c>
      <c r="L21" s="63" t="s">
        <v>15</v>
      </c>
      <c r="M21" s="85">
        <v>44713</v>
      </c>
      <c r="N21" s="85">
        <v>45657</v>
      </c>
    </row>
    <row r="22" spans="1:16" s="30" customFormat="1" ht="32" x14ac:dyDescent="0.2">
      <c r="A22" s="65" t="s">
        <v>163</v>
      </c>
      <c r="B22" s="65" t="s">
        <v>73</v>
      </c>
      <c r="C22" s="63" t="s">
        <v>101</v>
      </c>
      <c r="D22" s="68">
        <f>Table81012[[#This Row],[Euro - Amounts]]*$D$2</f>
        <v>280800</v>
      </c>
      <c r="E22" s="80">
        <v>260000</v>
      </c>
      <c r="F22" s="79">
        <f>Table81012[[#This Row],[Total US$ ]]*$F$1</f>
        <v>4944888</v>
      </c>
      <c r="G22" s="65" t="s">
        <v>85</v>
      </c>
      <c r="H22" s="64"/>
      <c r="I22" s="64" t="s">
        <v>6</v>
      </c>
      <c r="J22" s="64"/>
      <c r="K22" s="84" t="s">
        <v>494</v>
      </c>
      <c r="L22" s="63"/>
      <c r="M22" s="85">
        <v>44896</v>
      </c>
      <c r="N22" s="85">
        <v>46111</v>
      </c>
    </row>
    <row r="23" spans="1:16" s="30" customFormat="1" ht="112" x14ac:dyDescent="0.2">
      <c r="A23" s="65" t="s">
        <v>501</v>
      </c>
      <c r="B23" s="65" t="s">
        <v>73</v>
      </c>
      <c r="C23" s="62" t="s">
        <v>409</v>
      </c>
      <c r="D23" s="90">
        <f>Table81012[[#This Row],[Euro - Amounts]]*$D$2</f>
        <v>32400000.000000004</v>
      </c>
      <c r="E23" s="80">
        <v>30000000</v>
      </c>
      <c r="F23" s="79">
        <f>Table81012[[#This Row],[Total US$ ]]*$F$1</f>
        <v>570564000</v>
      </c>
      <c r="G23" s="65" t="s">
        <v>85</v>
      </c>
      <c r="H23" s="64"/>
      <c r="I23" s="64"/>
      <c r="J23" s="64"/>
      <c r="K23" s="84" t="s">
        <v>251</v>
      </c>
      <c r="L23" s="62"/>
      <c r="M23" s="86">
        <v>45505</v>
      </c>
      <c r="N23" s="86">
        <v>46598</v>
      </c>
    </row>
    <row r="24" spans="1:16" s="34" customFormat="1" ht="80" x14ac:dyDescent="0.2">
      <c r="A24" s="65" t="s">
        <v>288</v>
      </c>
      <c r="B24" s="65" t="s">
        <v>70</v>
      </c>
      <c r="C24" s="62" t="s">
        <v>290</v>
      </c>
      <c r="D24" s="90">
        <f>Table81012[[#This Row],[Euro - Amounts]]*$D$2</f>
        <v>32400000.000000004</v>
      </c>
      <c r="E24" s="80">
        <v>30000000</v>
      </c>
      <c r="F24" s="79">
        <f>Table81012[[#This Row],[Total US$ ]]*$F$1</f>
        <v>570564000</v>
      </c>
      <c r="G24" s="65" t="s">
        <v>85</v>
      </c>
      <c r="H24" s="64"/>
      <c r="I24" s="64"/>
      <c r="J24" s="64"/>
      <c r="K24" s="84" t="s">
        <v>494</v>
      </c>
      <c r="L24" s="62" t="s">
        <v>295</v>
      </c>
      <c r="M24" s="86">
        <v>44564</v>
      </c>
      <c r="N24" s="86">
        <v>45657</v>
      </c>
    </row>
    <row r="25" spans="1:16" s="34" customFormat="1" ht="128" x14ac:dyDescent="0.2">
      <c r="A25" s="65" t="s">
        <v>289</v>
      </c>
      <c r="B25" s="65" t="s">
        <v>70</v>
      </c>
      <c r="C25" s="63" t="s">
        <v>291</v>
      </c>
      <c r="D25" s="90">
        <f>Table81012[[#This Row],[Euro - Amounts]]*$D$2</f>
        <v>4320000</v>
      </c>
      <c r="E25" s="78">
        <v>4000000</v>
      </c>
      <c r="F25" s="79">
        <f>Table81012[[#This Row],[Total US$ ]]*$F$1</f>
        <v>76075200</v>
      </c>
      <c r="G25" s="65" t="s">
        <v>85</v>
      </c>
      <c r="H25" s="64"/>
      <c r="I25" s="64" t="s">
        <v>725</v>
      </c>
      <c r="J25" s="64"/>
      <c r="K25" s="84" t="s">
        <v>494</v>
      </c>
      <c r="L25" s="62" t="s">
        <v>296</v>
      </c>
      <c r="M25" s="86">
        <v>44837</v>
      </c>
      <c r="N25" s="86">
        <v>45930</v>
      </c>
    </row>
    <row r="26" spans="1:16" x14ac:dyDescent="0.2">
      <c r="A26" s="2"/>
      <c r="B26" s="91"/>
      <c r="C26" s="17"/>
      <c r="D26" s="77">
        <f>SUBTOTAL(109,Table81012[Total US$ ])</f>
        <v>285238800</v>
      </c>
      <c r="E26" s="58">
        <f>SUBTOTAL(109,Table81012[Euro - Amounts])</f>
        <v>264110000</v>
      </c>
      <c r="F26" s="71">
        <f>SUBTOTAL(109,Table81012[Total ZAR])</f>
        <v>5023055268</v>
      </c>
      <c r="G26" s="91"/>
      <c r="H26" s="18"/>
      <c r="I26" s="18"/>
      <c r="J26" s="18"/>
      <c r="K26" s="92"/>
      <c r="L26" s="17"/>
      <c r="M26" s="19"/>
      <c r="N26" s="19"/>
    </row>
    <row r="27" spans="1:16" x14ac:dyDescent="0.2">
      <c r="A27" s="30"/>
      <c r="B27" s="22"/>
      <c r="C27" s="13"/>
      <c r="D27" s="26"/>
      <c r="E27" s="26"/>
      <c r="F27" s="27"/>
      <c r="G27" s="5"/>
      <c r="H27" s="15"/>
      <c r="I27" s="15"/>
      <c r="J27" s="15"/>
      <c r="K27" s="23"/>
      <c r="L27" s="15"/>
      <c r="M27" s="16"/>
      <c r="N27" s="16"/>
    </row>
    <row r="28" spans="1:16" ht="27" customHeight="1" x14ac:dyDescent="0.2">
      <c r="A28" s="230" t="s">
        <v>676</v>
      </c>
      <c r="B28" s="230"/>
      <c r="C28" s="230"/>
      <c r="D28" s="230"/>
      <c r="E28" s="230"/>
      <c r="F28" s="230"/>
      <c r="G28" s="230"/>
      <c r="H28" s="230"/>
      <c r="I28" s="230"/>
      <c r="J28" s="230"/>
      <c r="K28" s="230"/>
      <c r="L28" s="230"/>
      <c r="M28" s="230"/>
      <c r="N28" s="230"/>
      <c r="O28" s="230"/>
      <c r="P28" s="230"/>
    </row>
    <row r="29" spans="1:16" x14ac:dyDescent="0.2">
      <c r="B29" s="1"/>
      <c r="E29" s="1"/>
      <c r="F29" s="1"/>
      <c r="G29" s="8"/>
      <c r="H29" s="1"/>
      <c r="I29" s="1"/>
      <c r="J29" s="1"/>
      <c r="K29" s="3"/>
      <c r="M29" s="17"/>
      <c r="N29" s="19"/>
      <c r="O29" s="19"/>
      <c r="P29" s="19"/>
    </row>
    <row r="30" spans="1:16" ht="15" customHeight="1" x14ac:dyDescent="0.2">
      <c r="A30" s="230" t="s">
        <v>561</v>
      </c>
      <c r="B30" s="230"/>
      <c r="C30" s="230"/>
      <c r="D30" s="230"/>
      <c r="E30" s="230"/>
      <c r="F30" s="230"/>
      <c r="G30" s="230"/>
      <c r="H30" s="230"/>
      <c r="I30" s="230"/>
      <c r="J30" s="230"/>
      <c r="K30" s="230"/>
      <c r="L30" s="230"/>
      <c r="M30" s="17"/>
      <c r="N30" s="19"/>
      <c r="O30" s="19"/>
      <c r="P30" s="19"/>
    </row>
    <row r="31" spans="1:16" x14ac:dyDescent="0.2">
      <c r="A31" s="30"/>
      <c r="B31" s="22"/>
      <c r="C31" s="12"/>
      <c r="D31" s="12"/>
      <c r="E31" s="25"/>
      <c r="F31" s="25"/>
      <c r="G31" s="27"/>
      <c r="H31" s="6"/>
      <c r="I31" s="6"/>
      <c r="J31" s="6"/>
      <c r="K31" s="7"/>
      <c r="L31" s="23"/>
      <c r="M31" s="12"/>
      <c r="N31" s="14"/>
      <c r="O31" s="14"/>
      <c r="P31" s="14"/>
    </row>
    <row r="32" spans="1:16" x14ac:dyDescent="0.2">
      <c r="A32" s="2" t="s">
        <v>502</v>
      </c>
      <c r="B32" s="22"/>
      <c r="C32" s="12"/>
      <c r="D32" s="12"/>
      <c r="E32" s="25"/>
      <c r="F32" s="25"/>
      <c r="G32" s="27"/>
      <c r="H32" s="6"/>
      <c r="I32" s="6"/>
      <c r="J32" s="6"/>
      <c r="K32" s="7"/>
      <c r="L32" s="23"/>
      <c r="M32" s="12"/>
      <c r="N32" s="14"/>
      <c r="O32" s="14"/>
      <c r="P32" s="14"/>
    </row>
    <row r="33" spans="1:14" x14ac:dyDescent="0.2">
      <c r="A33" s="30"/>
      <c r="B33" s="22"/>
      <c r="C33" s="12"/>
      <c r="D33" s="25"/>
      <c r="E33" s="25"/>
      <c r="F33" s="27"/>
      <c r="G33" s="6"/>
      <c r="H33" s="7"/>
      <c r="I33" s="7"/>
      <c r="J33" s="7"/>
      <c r="K33" s="23"/>
      <c r="L33" s="7"/>
      <c r="M33" s="14"/>
      <c r="N33" s="14"/>
    </row>
    <row r="34" spans="1:14" x14ac:dyDescent="0.2">
      <c r="A34" s="30"/>
      <c r="B34" s="22"/>
      <c r="C34" s="12"/>
      <c r="D34" s="25"/>
      <c r="E34" s="25"/>
      <c r="F34" s="27"/>
      <c r="G34" s="6"/>
      <c r="H34" s="7"/>
      <c r="I34" s="7"/>
      <c r="J34" s="7"/>
      <c r="K34" s="23"/>
      <c r="L34" s="7"/>
      <c r="M34" s="14"/>
      <c r="N34" s="14"/>
    </row>
    <row r="35" spans="1:14" x14ac:dyDescent="0.2">
      <c r="A35" s="30"/>
      <c r="B35" s="22"/>
      <c r="C35" s="12"/>
      <c r="D35" s="25"/>
      <c r="E35" s="25"/>
      <c r="F35" s="27"/>
      <c r="G35" s="6"/>
      <c r="H35" s="7"/>
      <c r="I35" s="7"/>
      <c r="J35" s="7"/>
      <c r="K35" s="23"/>
      <c r="L35" s="12"/>
      <c r="M35" s="16"/>
      <c r="N35" s="14"/>
    </row>
    <row r="36" spans="1:14" x14ac:dyDescent="0.2">
      <c r="A36" s="30"/>
      <c r="B36" s="22"/>
      <c r="C36" s="12"/>
      <c r="D36" s="25"/>
      <c r="E36" s="25"/>
      <c r="F36" s="27"/>
      <c r="G36" s="6"/>
      <c r="H36" s="7"/>
      <c r="I36" s="7"/>
      <c r="J36" s="7"/>
      <c r="K36" s="23"/>
      <c r="L36" s="7"/>
      <c r="M36" s="14"/>
      <c r="N36" s="14"/>
    </row>
    <row r="37" spans="1:14" x14ac:dyDescent="0.2">
      <c r="A37" s="30"/>
      <c r="B37" s="34"/>
      <c r="C37" s="34"/>
      <c r="D37" s="40"/>
      <c r="E37" s="40"/>
      <c r="F37" s="27"/>
      <c r="G37" s="5"/>
      <c r="H37" s="36"/>
      <c r="I37" s="36"/>
      <c r="J37" s="36"/>
      <c r="K37" s="38"/>
      <c r="L37" s="36"/>
      <c r="M37" s="41"/>
      <c r="N37" s="41"/>
    </row>
    <row r="38" spans="1:14" x14ac:dyDescent="0.2">
      <c r="A38" s="30"/>
      <c r="B38" s="30"/>
      <c r="C38" s="6"/>
      <c r="D38" s="42"/>
      <c r="E38" s="42"/>
      <c r="F38" s="27"/>
      <c r="G38" s="5"/>
      <c r="H38" s="31"/>
      <c r="I38" s="31"/>
      <c r="J38" s="31"/>
      <c r="K38" s="23"/>
      <c r="L38" s="31"/>
      <c r="M38" s="33"/>
      <c r="N38" s="33"/>
    </row>
    <row r="39" spans="1:14" x14ac:dyDescent="0.2">
      <c r="A39" s="30"/>
      <c r="B39" s="34"/>
      <c r="C39" s="5"/>
      <c r="D39" s="40"/>
      <c r="E39" s="40"/>
      <c r="F39" s="27"/>
      <c r="G39" s="5"/>
      <c r="H39" s="36"/>
      <c r="I39" s="36"/>
      <c r="J39" s="36"/>
      <c r="K39" s="38"/>
      <c r="L39" s="36"/>
      <c r="M39" s="41"/>
      <c r="N39" s="41"/>
    </row>
    <row r="40" spans="1:14" x14ac:dyDescent="0.2">
      <c r="A40" s="30"/>
      <c r="B40" s="34"/>
      <c r="C40" s="35"/>
      <c r="D40" s="40"/>
      <c r="E40" s="40"/>
      <c r="F40" s="27"/>
      <c r="G40" s="5"/>
      <c r="H40" s="36"/>
      <c r="I40" s="36"/>
      <c r="J40" s="36"/>
      <c r="K40" s="38"/>
      <c r="L40" s="36"/>
      <c r="M40" s="41"/>
      <c r="N40" s="41"/>
    </row>
    <row r="41" spans="1:14" x14ac:dyDescent="0.2">
      <c r="A41" s="30"/>
      <c r="B41" s="30"/>
      <c r="C41" s="29"/>
      <c r="D41" s="42"/>
      <c r="E41" s="42"/>
      <c r="F41" s="27"/>
      <c r="G41" s="6"/>
      <c r="H41" s="31"/>
      <c r="I41" s="31"/>
      <c r="J41" s="31"/>
      <c r="K41" s="23"/>
      <c r="L41" s="31"/>
      <c r="M41" s="33"/>
      <c r="N41" s="33"/>
    </row>
    <row r="42" spans="1:14" x14ac:dyDescent="0.2">
      <c r="A42" s="30"/>
      <c r="B42" s="34"/>
      <c r="C42" s="35"/>
      <c r="D42" s="34"/>
      <c r="E42" s="34"/>
      <c r="F42" s="27"/>
      <c r="G42" s="5"/>
      <c r="H42" s="36"/>
      <c r="I42" s="36"/>
      <c r="J42" s="36"/>
      <c r="K42" s="38"/>
      <c r="L42" s="36"/>
      <c r="M42" s="41"/>
      <c r="N42" s="41"/>
    </row>
    <row r="43" spans="1:14" x14ac:dyDescent="0.2">
      <c r="A43" s="30"/>
      <c r="B43" s="34"/>
      <c r="C43" s="35"/>
      <c r="D43" s="34"/>
      <c r="E43" s="34"/>
      <c r="F43" s="27"/>
      <c r="G43" s="5"/>
      <c r="H43" s="36"/>
      <c r="I43" s="36"/>
      <c r="J43" s="36"/>
      <c r="K43" s="38"/>
      <c r="L43" s="36"/>
      <c r="M43" s="41"/>
      <c r="N43" s="41"/>
    </row>
    <row r="44" spans="1:14" x14ac:dyDescent="0.2">
      <c r="A44" s="30"/>
      <c r="B44" s="30"/>
      <c r="C44" s="35"/>
      <c r="D44" s="42"/>
      <c r="E44" s="42"/>
      <c r="F44" s="27"/>
      <c r="G44" s="6"/>
      <c r="H44" s="31"/>
      <c r="I44" s="31"/>
      <c r="J44" s="31"/>
      <c r="K44" s="23"/>
      <c r="L44" s="31"/>
      <c r="M44" s="33"/>
      <c r="N44" s="33"/>
    </row>
    <row r="45" spans="1:14" x14ac:dyDescent="0.2">
      <c r="A45" s="30"/>
      <c r="B45" s="30"/>
      <c r="C45" s="29"/>
      <c r="D45" s="42"/>
      <c r="E45" s="42"/>
      <c r="F45" s="27"/>
      <c r="G45" s="6"/>
      <c r="H45" s="31"/>
      <c r="I45" s="31"/>
      <c r="J45" s="31"/>
      <c r="K45" s="23"/>
      <c r="L45" s="31"/>
      <c r="M45" s="33"/>
      <c r="N45" s="33"/>
    </row>
    <row r="46" spans="1:14" x14ac:dyDescent="0.2">
      <c r="A46" s="30"/>
      <c r="B46" s="34"/>
      <c r="C46" s="35"/>
      <c r="D46" s="34"/>
      <c r="E46" s="34"/>
      <c r="F46" s="27"/>
      <c r="G46" s="6"/>
      <c r="H46" s="36"/>
      <c r="I46" s="36"/>
      <c r="J46" s="36"/>
      <c r="K46" s="37"/>
      <c r="L46" s="36"/>
      <c r="M46" s="41"/>
      <c r="N46" s="41"/>
    </row>
    <row r="47" spans="1:14" x14ac:dyDescent="0.2">
      <c r="A47" s="30"/>
      <c r="B47" s="30"/>
      <c r="C47" s="29"/>
      <c r="D47" s="42"/>
      <c r="E47" s="42"/>
      <c r="F47" s="27"/>
      <c r="G47" s="6"/>
      <c r="H47" s="31"/>
      <c r="I47" s="31"/>
      <c r="J47" s="31"/>
      <c r="K47" s="23"/>
      <c r="L47" s="31"/>
      <c r="M47" s="33"/>
      <c r="N47" s="33"/>
    </row>
    <row r="48" spans="1:14" x14ac:dyDescent="0.2">
      <c r="A48" s="30"/>
      <c r="B48" s="6"/>
      <c r="C48" s="17"/>
      <c r="D48" s="28"/>
      <c r="E48" s="28"/>
      <c r="F48" s="27"/>
      <c r="G48" s="6"/>
      <c r="H48" s="18"/>
      <c r="I48" s="18"/>
      <c r="J48" s="18"/>
      <c r="K48" s="49"/>
      <c r="L48" s="17"/>
      <c r="M48" s="19"/>
      <c r="N48" s="19"/>
    </row>
    <row r="49" spans="1:14" x14ac:dyDescent="0.2">
      <c r="A49" s="30"/>
      <c r="B49" s="6"/>
      <c r="C49" s="17"/>
      <c r="D49" s="28"/>
      <c r="E49" s="28"/>
      <c r="F49" s="27"/>
      <c r="G49" s="6"/>
      <c r="H49" s="18"/>
      <c r="I49" s="18"/>
      <c r="J49" s="18"/>
      <c r="K49" s="49"/>
      <c r="L49" s="17"/>
      <c r="M49" s="19"/>
      <c r="N49" s="19"/>
    </row>
    <row r="50" spans="1:14" x14ac:dyDescent="0.2">
      <c r="A50" s="30"/>
      <c r="B50" s="6"/>
      <c r="C50" s="17"/>
      <c r="D50" s="28"/>
      <c r="E50" s="28"/>
      <c r="F50" s="27"/>
      <c r="G50" s="6"/>
      <c r="H50" s="18"/>
      <c r="I50" s="18"/>
      <c r="J50" s="18"/>
      <c r="K50" s="49"/>
      <c r="L50" s="17"/>
      <c r="M50" s="19"/>
      <c r="N50" s="19"/>
    </row>
    <row r="51" spans="1:14" x14ac:dyDescent="0.2">
      <c r="A51" s="30"/>
      <c r="B51" s="6"/>
      <c r="C51" s="17"/>
      <c r="D51" s="28"/>
      <c r="E51" s="28"/>
      <c r="F51" s="27"/>
      <c r="G51" s="6"/>
      <c r="H51" s="18"/>
      <c r="I51" s="18"/>
      <c r="J51" s="18"/>
      <c r="K51" s="49"/>
      <c r="L51" s="17"/>
      <c r="M51" s="19"/>
      <c r="N51" s="19"/>
    </row>
    <row r="52" spans="1:14" x14ac:dyDescent="0.2">
      <c r="A52" s="30"/>
      <c r="B52" s="6"/>
      <c r="C52" s="17"/>
      <c r="D52" s="28"/>
      <c r="E52" s="28"/>
      <c r="F52" s="27"/>
      <c r="G52" s="6"/>
      <c r="H52" s="18"/>
      <c r="I52" s="18"/>
      <c r="J52" s="18"/>
      <c r="K52" s="49"/>
      <c r="L52" s="17"/>
      <c r="M52" s="19"/>
      <c r="N52" s="19"/>
    </row>
    <row r="53" spans="1:14" x14ac:dyDescent="0.2">
      <c r="A53" s="30"/>
      <c r="B53" s="6"/>
      <c r="C53" s="17"/>
      <c r="D53" s="28"/>
      <c r="E53" s="28"/>
      <c r="F53" s="27"/>
      <c r="G53" s="6"/>
      <c r="H53" s="18"/>
      <c r="I53" s="18"/>
      <c r="J53" s="18"/>
      <c r="K53" s="49"/>
      <c r="L53" s="17"/>
      <c r="M53" s="19"/>
      <c r="N53" s="19"/>
    </row>
    <row r="54" spans="1:14" x14ac:dyDescent="0.2">
      <c r="A54" s="30"/>
      <c r="B54" s="6"/>
      <c r="C54" s="17"/>
      <c r="D54" s="28"/>
      <c r="E54" s="28"/>
      <c r="F54" s="27"/>
      <c r="G54" s="6"/>
      <c r="H54" s="18"/>
      <c r="I54" s="18"/>
      <c r="J54" s="18"/>
      <c r="K54" s="49"/>
      <c r="L54" s="17"/>
      <c r="M54" s="19"/>
      <c r="N54" s="19"/>
    </row>
    <row r="55" spans="1:14" x14ac:dyDescent="0.2">
      <c r="A55" s="30"/>
      <c r="B55" s="6"/>
      <c r="C55" s="17"/>
      <c r="D55" s="28"/>
      <c r="E55" s="28"/>
      <c r="F55" s="27"/>
      <c r="G55" s="6"/>
      <c r="H55" s="18"/>
      <c r="I55" s="18"/>
      <c r="J55" s="18"/>
      <c r="K55" s="49"/>
      <c r="L55" s="17"/>
      <c r="M55" s="19"/>
      <c r="N55" s="19"/>
    </row>
    <row r="56" spans="1:14" x14ac:dyDescent="0.2">
      <c r="A56" s="30"/>
      <c r="B56" s="6"/>
      <c r="C56" s="17"/>
      <c r="D56" s="28"/>
      <c r="E56" s="28"/>
      <c r="F56" s="27"/>
      <c r="G56" s="6"/>
      <c r="H56" s="18"/>
      <c r="I56" s="18"/>
      <c r="J56" s="18"/>
      <c r="K56" s="49"/>
      <c r="L56" s="17"/>
      <c r="M56" s="19"/>
      <c r="N56" s="19"/>
    </row>
    <row r="57" spans="1:14" x14ac:dyDescent="0.2">
      <c r="A57" s="30"/>
      <c r="B57" s="6"/>
      <c r="C57" s="17"/>
      <c r="D57" s="28"/>
      <c r="E57" s="28"/>
      <c r="F57" s="27"/>
      <c r="G57" s="6"/>
      <c r="H57" s="18"/>
      <c r="I57" s="18"/>
      <c r="J57" s="18"/>
      <c r="K57" s="49"/>
      <c r="L57" s="17"/>
      <c r="M57" s="19"/>
      <c r="N57" s="19"/>
    </row>
    <row r="58" spans="1:14" x14ac:dyDescent="0.2">
      <c r="A58" s="30"/>
      <c r="B58" s="6"/>
      <c r="C58" s="17"/>
      <c r="D58" s="28"/>
      <c r="E58" s="28"/>
      <c r="F58" s="27"/>
      <c r="G58" s="6"/>
      <c r="H58" s="18"/>
      <c r="I58" s="18"/>
      <c r="J58" s="18"/>
      <c r="K58" s="49"/>
      <c r="L58" s="17"/>
      <c r="M58" s="19"/>
      <c r="N58" s="19"/>
    </row>
    <row r="59" spans="1:14" x14ac:dyDescent="0.2">
      <c r="A59" s="30"/>
      <c r="B59" s="6"/>
      <c r="C59" s="17"/>
      <c r="D59" s="28"/>
      <c r="E59" s="28"/>
      <c r="F59" s="27"/>
      <c r="G59" s="6"/>
      <c r="H59" s="18"/>
      <c r="I59" s="18"/>
      <c r="J59" s="18"/>
      <c r="K59" s="49"/>
      <c r="L59" s="17"/>
      <c r="M59" s="19"/>
      <c r="N59" s="19"/>
    </row>
    <row r="60" spans="1:14" x14ac:dyDescent="0.2">
      <c r="A60" s="30"/>
      <c r="B60" s="6"/>
      <c r="C60" s="17"/>
      <c r="D60" s="28"/>
      <c r="E60" s="28"/>
      <c r="F60" s="27"/>
      <c r="G60" s="6"/>
      <c r="H60" s="18"/>
      <c r="I60" s="18"/>
      <c r="J60" s="18"/>
      <c r="K60" s="49"/>
      <c r="L60" s="17"/>
      <c r="M60" s="19"/>
      <c r="N60" s="19"/>
    </row>
    <row r="61" spans="1:14" x14ac:dyDescent="0.2">
      <c r="A61" s="30"/>
      <c r="B61" s="6"/>
      <c r="C61" s="17"/>
      <c r="D61" s="28"/>
      <c r="E61" s="28"/>
      <c r="F61" s="27"/>
      <c r="G61" s="6"/>
      <c r="H61" s="18"/>
      <c r="I61" s="18"/>
      <c r="J61" s="18"/>
      <c r="K61" s="49"/>
      <c r="L61" s="17"/>
      <c r="M61" s="19"/>
      <c r="N61" s="19"/>
    </row>
    <row r="62" spans="1:14" x14ac:dyDescent="0.2">
      <c r="A62" s="30"/>
      <c r="B62" s="6"/>
      <c r="C62" s="17"/>
      <c r="D62" s="28"/>
      <c r="E62" s="28"/>
      <c r="F62" s="27"/>
      <c r="G62" s="6"/>
      <c r="H62" s="18"/>
      <c r="I62" s="18"/>
      <c r="J62" s="18"/>
      <c r="K62" s="49"/>
      <c r="L62" s="17"/>
      <c r="M62" s="19"/>
      <c r="N62" s="19"/>
    </row>
    <row r="63" spans="1:14" x14ac:dyDescent="0.2">
      <c r="A63" s="30"/>
      <c r="B63" s="6"/>
      <c r="C63" s="17"/>
      <c r="D63" s="28"/>
      <c r="E63" s="28"/>
      <c r="F63" s="27"/>
      <c r="G63" s="6"/>
      <c r="H63" s="18"/>
      <c r="I63" s="18"/>
      <c r="J63" s="18"/>
      <c r="K63" s="49"/>
      <c r="L63" s="17"/>
      <c r="M63" s="19"/>
      <c r="N63" s="19"/>
    </row>
    <row r="64" spans="1:14"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row r="137" spans="1:14" x14ac:dyDescent="0.2">
      <c r="A137" s="30"/>
      <c r="B137" s="6"/>
      <c r="C137" s="17"/>
      <c r="D137" s="28"/>
      <c r="E137" s="28"/>
      <c r="F137" s="27"/>
      <c r="G137" s="6"/>
      <c r="H137" s="18"/>
      <c r="I137" s="18"/>
      <c r="J137" s="18"/>
      <c r="K137" s="49"/>
      <c r="L137" s="17"/>
      <c r="M137" s="19"/>
      <c r="N137" s="19"/>
    </row>
    <row r="138" spans="1:14" x14ac:dyDescent="0.2">
      <c r="A138" s="30"/>
      <c r="B138" s="6"/>
      <c r="C138" s="17"/>
      <c r="D138" s="28"/>
      <c r="E138" s="28"/>
      <c r="F138" s="27"/>
      <c r="G138" s="6"/>
      <c r="H138" s="18"/>
      <c r="I138" s="18"/>
      <c r="J138" s="18"/>
      <c r="K138" s="49"/>
      <c r="L138" s="17"/>
      <c r="M138" s="19"/>
      <c r="N138" s="19"/>
    </row>
    <row r="139" spans="1:14" x14ac:dyDescent="0.2">
      <c r="A139" s="30"/>
      <c r="B139" s="6"/>
      <c r="C139" s="17"/>
      <c r="D139" s="28"/>
      <c r="E139" s="28"/>
      <c r="F139" s="27"/>
      <c r="G139" s="6"/>
      <c r="H139" s="18"/>
      <c r="I139" s="18"/>
      <c r="J139" s="18"/>
      <c r="K139" s="49"/>
      <c r="L139" s="17"/>
      <c r="M139" s="19"/>
      <c r="N139" s="19"/>
    </row>
    <row r="140" spans="1:14" x14ac:dyDescent="0.2">
      <c r="A140" s="30"/>
      <c r="B140" s="6"/>
      <c r="C140" s="17"/>
      <c r="D140" s="28"/>
      <c r="E140" s="28"/>
      <c r="F140" s="27"/>
      <c r="G140" s="6"/>
      <c r="H140" s="18"/>
      <c r="I140" s="18"/>
      <c r="J140" s="18"/>
      <c r="K140" s="49"/>
      <c r="L140" s="17"/>
      <c r="M140" s="19"/>
      <c r="N140" s="19"/>
    </row>
    <row r="141" spans="1:14" x14ac:dyDescent="0.2">
      <c r="A141" s="30"/>
      <c r="B141" s="6"/>
      <c r="C141" s="17"/>
      <c r="D141" s="28"/>
      <c r="E141" s="28"/>
      <c r="F141" s="27"/>
      <c r="G141" s="6"/>
      <c r="H141" s="18"/>
      <c r="I141" s="18"/>
      <c r="J141" s="18"/>
      <c r="K141" s="49"/>
      <c r="L141" s="17"/>
      <c r="M141" s="19"/>
      <c r="N141" s="19"/>
    </row>
    <row r="142" spans="1:14" x14ac:dyDescent="0.2">
      <c r="A142" s="30"/>
      <c r="B142" s="6"/>
      <c r="C142" s="17"/>
      <c r="D142" s="28"/>
      <c r="E142" s="28"/>
      <c r="F142" s="27"/>
      <c r="G142" s="6"/>
      <c r="H142" s="18"/>
      <c r="I142" s="18"/>
      <c r="J142" s="18"/>
      <c r="K142" s="49"/>
      <c r="L142" s="17"/>
      <c r="M142" s="19"/>
      <c r="N142" s="19"/>
    </row>
    <row r="143" spans="1:14" x14ac:dyDescent="0.2">
      <c r="A143" s="30"/>
      <c r="B143" s="6"/>
      <c r="C143" s="17"/>
      <c r="D143" s="28"/>
      <c r="E143" s="28"/>
      <c r="F143" s="27"/>
      <c r="G143" s="6"/>
      <c r="H143" s="18"/>
      <c r="I143" s="18"/>
      <c r="J143" s="18"/>
      <c r="K143" s="49"/>
      <c r="L143" s="17"/>
      <c r="M143" s="19"/>
      <c r="N143" s="19"/>
    </row>
    <row r="144" spans="1:14" x14ac:dyDescent="0.2">
      <c r="A144" s="30"/>
      <c r="B144" s="6"/>
      <c r="C144" s="17"/>
      <c r="D144" s="28"/>
      <c r="E144" s="28"/>
      <c r="F144" s="27"/>
      <c r="G144" s="6"/>
      <c r="H144" s="18"/>
      <c r="I144" s="18"/>
      <c r="J144" s="18"/>
      <c r="K144" s="49"/>
      <c r="L144" s="17"/>
      <c r="M144" s="19"/>
      <c r="N144" s="19"/>
    </row>
    <row r="145" spans="1:14" x14ac:dyDescent="0.2">
      <c r="A145" s="30"/>
      <c r="B145" s="6"/>
      <c r="C145" s="17"/>
      <c r="D145" s="28"/>
      <c r="E145" s="28"/>
      <c r="F145" s="27"/>
      <c r="G145" s="6"/>
      <c r="H145" s="18"/>
      <c r="I145" s="18"/>
      <c r="J145" s="18"/>
      <c r="K145" s="49"/>
      <c r="L145" s="17"/>
      <c r="M145" s="19"/>
      <c r="N145" s="19"/>
    </row>
    <row r="146" spans="1:14" x14ac:dyDescent="0.2">
      <c r="A146" s="30"/>
      <c r="B146" s="6"/>
      <c r="C146" s="17"/>
      <c r="D146" s="28"/>
      <c r="E146" s="28"/>
      <c r="F146" s="27"/>
      <c r="G146" s="6"/>
      <c r="H146" s="18"/>
      <c r="I146" s="18"/>
      <c r="J146" s="18"/>
      <c r="K146" s="49"/>
      <c r="L146" s="17"/>
      <c r="M146" s="19"/>
      <c r="N146" s="19"/>
    </row>
    <row r="147" spans="1:14" x14ac:dyDescent="0.2">
      <c r="A147" s="30"/>
      <c r="B147" s="6"/>
      <c r="C147" s="17"/>
      <c r="D147" s="28"/>
      <c r="E147" s="28"/>
      <c r="F147" s="27"/>
      <c r="G147" s="6"/>
      <c r="H147" s="18"/>
      <c r="I147" s="18"/>
      <c r="J147" s="18"/>
      <c r="K147" s="49"/>
      <c r="L147" s="17"/>
      <c r="M147" s="19"/>
      <c r="N147" s="19"/>
    </row>
    <row r="148" spans="1:14" x14ac:dyDescent="0.2">
      <c r="A148" s="30"/>
      <c r="B148" s="6"/>
      <c r="C148" s="17"/>
      <c r="D148" s="28"/>
      <c r="E148" s="28"/>
      <c r="F148" s="27"/>
      <c r="G148" s="6"/>
      <c r="H148" s="18"/>
      <c r="I148" s="18"/>
      <c r="J148" s="18"/>
      <c r="K148" s="49"/>
      <c r="L148" s="17"/>
      <c r="M148" s="19"/>
      <c r="N148" s="19"/>
    </row>
    <row r="149" spans="1:14" x14ac:dyDescent="0.2">
      <c r="A149" s="30"/>
      <c r="B149" s="6"/>
      <c r="C149" s="17"/>
      <c r="D149" s="28"/>
      <c r="E149" s="28"/>
      <c r="F149" s="27"/>
      <c r="G149" s="6"/>
      <c r="H149" s="18"/>
      <c r="I149" s="18"/>
      <c r="J149" s="18"/>
      <c r="K149" s="49"/>
      <c r="L149" s="17"/>
      <c r="M149" s="19"/>
      <c r="N149" s="19"/>
    </row>
    <row r="150" spans="1:14" x14ac:dyDescent="0.2">
      <c r="A150" s="30"/>
      <c r="B150" s="6"/>
      <c r="C150" s="17"/>
      <c r="D150" s="28"/>
      <c r="E150" s="28"/>
      <c r="F150" s="27"/>
      <c r="G150" s="6"/>
      <c r="H150" s="18"/>
      <c r="I150" s="18"/>
      <c r="J150" s="18"/>
      <c r="K150" s="49"/>
      <c r="L150" s="17"/>
      <c r="M150" s="19"/>
      <c r="N150" s="19"/>
    </row>
  </sheetData>
  <mergeCells count="3">
    <mergeCell ref="F1:F2"/>
    <mergeCell ref="A28:P28"/>
    <mergeCell ref="A30:L30"/>
  </mergeCells>
  <phoneticPr fontId="1" type="noConversion"/>
  <pageMargins left="0.7" right="0.7" top="0.75" bottom="0.75" header="0.3" footer="0.3"/>
  <pageSetup paperSize="9" orientation="portrait" horizontalDpi="0" verticalDpi="0"/>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24BEBA55-0F62-C44D-B18D-4292F1166D76}">
          <x14:formula1>
            <xm:f>Dropdowns!$I$2:$I$15</xm:f>
          </x14:formula1>
          <xm:sqref>G4:G25 G27 G33:G150</xm:sqref>
        </x14:dataValidation>
        <x14:dataValidation type="list" allowBlank="1" showInputMessage="1" showErrorMessage="1" xr:uid="{B30DF241-E7BC-E64F-B218-2E5E4A00352A}">
          <x14:formula1>
            <xm:f>Dropdowns!$C$2:$C$7</xm:f>
          </x14:formula1>
          <xm:sqref>B27 B4:B25 B33:B150</xm:sqref>
        </x14:dataValidation>
        <x14:dataValidation type="list" allowBlank="1" showInputMessage="1" showErrorMessage="1" xr:uid="{3A7974BB-4563-7442-8F09-4FC42F105856}">
          <x14:formula1>
            <xm:f>Dropdowns!$K$2:$K$4</xm:f>
          </x14:formula1>
          <xm:sqref>K47:K150 K33:K45 K27</xm:sqref>
        </x14:dataValidation>
        <x14:dataValidation type="list" allowBlank="1" showInputMessage="1" showErrorMessage="1" xr:uid="{87C0ECEF-A62F-DB44-AAFC-4BFFA87E343C}">
          <x14:formula1>
            <xm:f>Dropdowns!$K$2:$K$5</xm:f>
          </x14:formula1>
          <xm:sqref>K4:K25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665B0-420E-D346-8AFB-3925E0323597}">
  <dimension ref="A1:Q142"/>
  <sheetViews>
    <sheetView showGridLines="0" zoomScale="120" zoomScaleNormal="120" workbookViewId="0">
      <pane xSplit="1" ySplit="3" topLeftCell="B4" activePane="bottomRight" state="frozen"/>
      <selection pane="topRight" activeCell="B1" sqref="B1"/>
      <selection pane="bottomLeft" activeCell="A4" sqref="A4"/>
      <selection pane="bottomRight" sqref="A1:XFD1048576"/>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6640625" bestFit="1" customWidth="1"/>
    <col min="6" max="6" width="14.1640625" bestFit="1" customWidth="1"/>
    <col min="8" max="10" width="30.6640625" customWidth="1"/>
    <col min="11" max="11" width="16" customWidth="1"/>
    <col min="12" max="12" width="51.83203125" customWidth="1"/>
    <col min="13" max="13" width="25.83203125" bestFit="1" customWidth="1"/>
    <col min="14" max="14" width="26.1640625" bestFit="1" customWidth="1"/>
  </cols>
  <sheetData>
    <row r="1" spans="1:14" x14ac:dyDescent="0.2">
      <c r="D1" s="53" t="s">
        <v>62</v>
      </c>
      <c r="F1" s="232">
        <v>17.61</v>
      </c>
    </row>
    <row r="2" spans="1:14" ht="16" thickBot="1" x14ac:dyDescent="0.25">
      <c r="D2" s="52">
        <v>1.08</v>
      </c>
      <c r="F2" s="233"/>
    </row>
    <row r="3" spans="1:14" ht="16" x14ac:dyDescent="0.2">
      <c r="A3" t="s">
        <v>104</v>
      </c>
      <c r="B3" s="105" t="s">
        <v>467</v>
      </c>
      <c r="C3" s="106" t="s">
        <v>469</v>
      </c>
      <c r="D3" s="44" t="s">
        <v>176</v>
      </c>
      <c r="E3" s="44" t="s">
        <v>235</v>
      </c>
      <c r="F3" s="44" t="s">
        <v>38</v>
      </c>
      <c r="G3" s="44" t="s">
        <v>95</v>
      </c>
      <c r="H3" s="107" t="s">
        <v>350</v>
      </c>
      <c r="I3" s="126" t="s">
        <v>565</v>
      </c>
      <c r="J3" s="126" t="s">
        <v>566</v>
      </c>
      <c r="K3" s="108" t="s">
        <v>470</v>
      </c>
      <c r="L3" s="109" t="s">
        <v>472</v>
      </c>
      <c r="M3" s="45" t="s">
        <v>496</v>
      </c>
      <c r="N3" s="45" t="s">
        <v>497</v>
      </c>
    </row>
    <row r="4" spans="1:14" ht="64" x14ac:dyDescent="0.2">
      <c r="A4" s="65" t="s">
        <v>167</v>
      </c>
      <c r="B4" s="65" t="s">
        <v>468</v>
      </c>
      <c r="C4" s="62" t="s">
        <v>0</v>
      </c>
      <c r="D4" s="68">
        <f>Table8101213[[#This Row],[Euro - Amount]]*$D$2</f>
        <v>680400</v>
      </c>
      <c r="E4" s="80">
        <v>630000</v>
      </c>
      <c r="F4" s="79">
        <f>Table8101213[[#This Row],[Total US$ ]]*$F$1</f>
        <v>11981844</v>
      </c>
      <c r="G4" s="65" t="s">
        <v>84</v>
      </c>
      <c r="H4" s="76" t="s">
        <v>359</v>
      </c>
      <c r="I4" s="76"/>
      <c r="J4" s="76"/>
      <c r="K4" s="84" t="s">
        <v>251</v>
      </c>
      <c r="L4" s="63" t="s">
        <v>326</v>
      </c>
      <c r="M4" s="85">
        <v>44562</v>
      </c>
      <c r="N4" s="85">
        <v>45657</v>
      </c>
    </row>
    <row r="5" spans="1:14" ht="80" x14ac:dyDescent="0.2">
      <c r="A5" s="65" t="s">
        <v>168</v>
      </c>
      <c r="B5" s="65" t="s">
        <v>468</v>
      </c>
      <c r="C5" s="62" t="s">
        <v>0</v>
      </c>
      <c r="D5" s="68">
        <f>Table8101213[[#This Row],[Euro - Amount]]*$D$2</f>
        <v>297000</v>
      </c>
      <c r="E5" s="80">
        <v>275000</v>
      </c>
      <c r="F5" s="79">
        <f>Table8101213[[#This Row],[Total US$ ]]*$F$1</f>
        <v>5230170</v>
      </c>
      <c r="G5" s="65" t="s">
        <v>84</v>
      </c>
      <c r="H5" s="64" t="s">
        <v>360</v>
      </c>
      <c r="I5" s="64"/>
      <c r="J5" s="64"/>
      <c r="K5" s="84" t="s">
        <v>251</v>
      </c>
      <c r="L5" s="63" t="s">
        <v>327</v>
      </c>
      <c r="M5" s="85">
        <v>44562</v>
      </c>
      <c r="N5" s="85">
        <v>45657</v>
      </c>
    </row>
    <row r="6" spans="1:14" ht="80" x14ac:dyDescent="0.2">
      <c r="A6" s="65" t="s">
        <v>169</v>
      </c>
      <c r="B6" s="65" t="s">
        <v>73</v>
      </c>
      <c r="C6" s="62" t="s">
        <v>9</v>
      </c>
      <c r="D6" s="68">
        <f>Table8101213[[#This Row],[Euro - Amount]]*$D$2</f>
        <v>540000</v>
      </c>
      <c r="E6" s="80">
        <v>500000</v>
      </c>
      <c r="F6" s="79">
        <f>Table8101213[[#This Row],[Total US$ ]]*$F$1</f>
        <v>9509400</v>
      </c>
      <c r="G6" s="65" t="s">
        <v>84</v>
      </c>
      <c r="H6" s="64" t="s">
        <v>361</v>
      </c>
      <c r="I6" s="64"/>
      <c r="J6" s="64"/>
      <c r="K6" s="84" t="s">
        <v>494</v>
      </c>
      <c r="L6" s="63" t="s">
        <v>328</v>
      </c>
      <c r="M6" s="85">
        <v>44501</v>
      </c>
      <c r="N6" s="85">
        <v>45657</v>
      </c>
    </row>
    <row r="7" spans="1:14" ht="32" x14ac:dyDescent="0.2">
      <c r="A7" s="65" t="s">
        <v>170</v>
      </c>
      <c r="B7" s="65" t="s">
        <v>73</v>
      </c>
      <c r="C7" s="62" t="s">
        <v>9</v>
      </c>
      <c r="D7" s="68">
        <f>Table8101213[[#This Row],[Euro - Amount]]*$D$2</f>
        <v>216000</v>
      </c>
      <c r="E7" s="80">
        <v>200000</v>
      </c>
      <c r="F7" s="79">
        <f>Table8101213[[#This Row],[Total US$ ]]*$F$1</f>
        <v>3803760</v>
      </c>
      <c r="G7" s="65" t="s">
        <v>84</v>
      </c>
      <c r="H7" s="64" t="s">
        <v>362</v>
      </c>
      <c r="I7" s="64"/>
      <c r="J7" s="64"/>
      <c r="K7" s="84" t="s">
        <v>495</v>
      </c>
      <c r="L7" s="62" t="s">
        <v>329</v>
      </c>
      <c r="M7" s="85">
        <v>44562</v>
      </c>
      <c r="N7" s="85">
        <v>45291</v>
      </c>
    </row>
    <row r="8" spans="1:14" ht="224" x14ac:dyDescent="0.2">
      <c r="A8" s="65" t="s">
        <v>171</v>
      </c>
      <c r="B8" s="65" t="s">
        <v>73</v>
      </c>
      <c r="C8" s="62" t="s">
        <v>97</v>
      </c>
      <c r="D8" s="68">
        <f>Table8101213[[#This Row],[Euro - Amount]]*$D$2</f>
        <v>385560</v>
      </c>
      <c r="E8" s="80">
        <v>357000</v>
      </c>
      <c r="F8" s="79">
        <f>Table8101213[[#This Row],[Total US$ ]]*$F$1</f>
        <v>6789711.5999999996</v>
      </c>
      <c r="G8" s="65" t="s">
        <v>84</v>
      </c>
      <c r="H8" s="63" t="s">
        <v>747</v>
      </c>
      <c r="I8" s="64"/>
      <c r="J8" s="64"/>
      <c r="K8" s="84" t="s">
        <v>494</v>
      </c>
      <c r="L8" s="63" t="s">
        <v>748</v>
      </c>
      <c r="M8" s="86">
        <v>45078</v>
      </c>
      <c r="N8" s="85">
        <v>45747</v>
      </c>
    </row>
    <row r="9" spans="1:14" ht="32" x14ac:dyDescent="0.2">
      <c r="A9" s="65" t="s">
        <v>172</v>
      </c>
      <c r="B9" s="65" t="s">
        <v>73</v>
      </c>
      <c r="C9" s="62" t="s">
        <v>14</v>
      </c>
      <c r="D9" s="68">
        <f>Table8101213[[#This Row],[Euro - Amount]]*$D$2</f>
        <v>32400.000000000004</v>
      </c>
      <c r="E9" s="80">
        <v>30000</v>
      </c>
      <c r="F9" s="79">
        <f>Table8101213[[#This Row],[Total US$ ]]*$F$1</f>
        <v>570564</v>
      </c>
      <c r="G9" s="65" t="s">
        <v>84</v>
      </c>
      <c r="H9" s="64" t="s">
        <v>363</v>
      </c>
      <c r="I9" s="64"/>
      <c r="J9" s="64"/>
      <c r="K9" s="84" t="s">
        <v>494</v>
      </c>
      <c r="L9" s="63" t="s">
        <v>330</v>
      </c>
      <c r="M9" s="85">
        <v>44562</v>
      </c>
      <c r="N9" s="85">
        <v>46752</v>
      </c>
    </row>
    <row r="10" spans="1:14" ht="144" x14ac:dyDescent="0.2">
      <c r="A10" s="65" t="s">
        <v>173</v>
      </c>
      <c r="B10" s="65" t="s">
        <v>468</v>
      </c>
      <c r="C10" s="63" t="s">
        <v>36</v>
      </c>
      <c r="D10" s="68">
        <f>Table8101213[[#This Row],[Euro - Amount]]*$D$2</f>
        <v>162000</v>
      </c>
      <c r="E10" s="80">
        <v>150000</v>
      </c>
      <c r="F10" s="79">
        <f>Table8101213[[#This Row],[Total US$ ]]*$F$1</f>
        <v>2852820</v>
      </c>
      <c r="G10" s="65" t="s">
        <v>84</v>
      </c>
      <c r="H10" s="64" t="s">
        <v>37</v>
      </c>
      <c r="I10" s="64"/>
      <c r="J10" s="64"/>
      <c r="K10" s="84" t="s">
        <v>494</v>
      </c>
      <c r="L10" s="63" t="s">
        <v>331</v>
      </c>
      <c r="M10" s="85">
        <v>44501</v>
      </c>
      <c r="N10" s="85">
        <v>46751</v>
      </c>
    </row>
    <row r="11" spans="1:14" ht="240" x14ac:dyDescent="0.2">
      <c r="A11" s="65" t="s">
        <v>174</v>
      </c>
      <c r="B11" s="63" t="s">
        <v>73</v>
      </c>
      <c r="C11" s="62" t="s">
        <v>266</v>
      </c>
      <c r="D11" s="68">
        <f>Table8101213[[#This Row],[Euro - Amount]]*$D$2</f>
        <v>16200.000000000002</v>
      </c>
      <c r="E11" s="80">
        <v>15000</v>
      </c>
      <c r="F11" s="79">
        <f>Table8101213[[#This Row],[Total US$ ]]*$F$1</f>
        <v>285282</v>
      </c>
      <c r="G11" s="65" t="s">
        <v>84</v>
      </c>
      <c r="H11" s="64" t="s">
        <v>271</v>
      </c>
      <c r="I11" s="64"/>
      <c r="J11" s="64"/>
      <c r="K11" s="84" t="s">
        <v>495</v>
      </c>
      <c r="L11" s="63" t="s">
        <v>332</v>
      </c>
      <c r="M11" s="85">
        <v>44501</v>
      </c>
      <c r="N11" s="85">
        <v>44926</v>
      </c>
    </row>
    <row r="12" spans="1:14" s="51" customFormat="1" ht="224" x14ac:dyDescent="0.2">
      <c r="A12" s="65" t="s">
        <v>261</v>
      </c>
      <c r="B12" s="63" t="s">
        <v>73</v>
      </c>
      <c r="C12" s="62" t="s">
        <v>267</v>
      </c>
      <c r="D12" s="68">
        <f>Table8101213[[#This Row],[Euro - Amount]]*$D$2</f>
        <v>129600.00000000001</v>
      </c>
      <c r="E12" s="80">
        <v>120000</v>
      </c>
      <c r="F12" s="79">
        <f>Table8101213[[#This Row],[Total US$ ]]*$F$1</f>
        <v>2282256</v>
      </c>
      <c r="G12" s="65" t="s">
        <v>84</v>
      </c>
      <c r="H12" s="64" t="s">
        <v>364</v>
      </c>
      <c r="I12" s="64"/>
      <c r="J12" s="64"/>
      <c r="K12" s="84" t="s">
        <v>495</v>
      </c>
      <c r="L12" s="63" t="s">
        <v>333</v>
      </c>
      <c r="M12" s="85">
        <v>44501</v>
      </c>
      <c r="N12" s="85">
        <v>44926</v>
      </c>
    </row>
    <row r="13" spans="1:14" s="51" customFormat="1" ht="128" x14ac:dyDescent="0.2">
      <c r="A13" s="65" t="s">
        <v>262</v>
      </c>
      <c r="B13" s="63" t="s">
        <v>73</v>
      </c>
      <c r="C13" s="62" t="s">
        <v>293</v>
      </c>
      <c r="D13" s="68">
        <f>Table8101213[[#This Row],[Euro - Amount]]*$D$2</f>
        <v>21600</v>
      </c>
      <c r="E13" s="80">
        <v>20000</v>
      </c>
      <c r="F13" s="79">
        <f>Table8101213[[#This Row],[Total US$ ]]*$F$1</f>
        <v>380376</v>
      </c>
      <c r="G13" s="65" t="s">
        <v>84</v>
      </c>
      <c r="H13" s="64" t="s">
        <v>365</v>
      </c>
      <c r="I13" s="64"/>
      <c r="J13" s="64"/>
      <c r="K13" s="84" t="s">
        <v>495</v>
      </c>
      <c r="L13" s="63" t="s">
        <v>334</v>
      </c>
      <c r="M13" s="85">
        <v>44562</v>
      </c>
      <c r="N13" s="85">
        <v>45291</v>
      </c>
    </row>
    <row r="14" spans="1:14" s="30" customFormat="1" ht="240" x14ac:dyDescent="0.2">
      <c r="A14" s="65" t="s">
        <v>681</v>
      </c>
      <c r="B14" s="63" t="s">
        <v>72</v>
      </c>
      <c r="C14" s="62" t="s">
        <v>268</v>
      </c>
      <c r="D14" s="68">
        <f>Table8101213[[#This Row],[Euro - Amount]]*$D$2</f>
        <v>378000</v>
      </c>
      <c r="E14" s="80">
        <v>350000</v>
      </c>
      <c r="F14" s="79">
        <f>Table8101213[[#This Row],[Total US$ ]]*$F$1</f>
        <v>6656580</v>
      </c>
      <c r="G14" s="65" t="s">
        <v>84</v>
      </c>
      <c r="H14" s="64" t="s">
        <v>366</v>
      </c>
      <c r="I14" s="64"/>
      <c r="J14" s="64"/>
      <c r="K14" s="84" t="s">
        <v>494</v>
      </c>
      <c r="L14" s="63" t="s">
        <v>335</v>
      </c>
      <c r="M14" s="86">
        <v>44927</v>
      </c>
      <c r="N14" s="86">
        <v>46387</v>
      </c>
    </row>
    <row r="15" spans="1:14" s="30" customFormat="1" ht="144" x14ac:dyDescent="0.2">
      <c r="A15" s="65" t="s">
        <v>263</v>
      </c>
      <c r="B15" s="65" t="s">
        <v>72</v>
      </c>
      <c r="C15" s="62" t="s">
        <v>269</v>
      </c>
      <c r="D15" s="68">
        <f>Table8101213[[#This Row],[Euro - Amount]]*$D$2</f>
        <v>237060.00000000003</v>
      </c>
      <c r="E15" s="80">
        <v>219500</v>
      </c>
      <c r="F15" s="79">
        <f>Table8101213[[#This Row],[Total US$ ]]*$F$1</f>
        <v>4174626.6000000006</v>
      </c>
      <c r="G15" s="65" t="s">
        <v>84</v>
      </c>
      <c r="H15" s="64" t="s">
        <v>367</v>
      </c>
      <c r="I15" s="64"/>
      <c r="J15" s="64"/>
      <c r="K15" s="84" t="s">
        <v>494</v>
      </c>
      <c r="L15" s="63" t="s">
        <v>336</v>
      </c>
      <c r="M15" s="85">
        <v>44927</v>
      </c>
      <c r="N15" s="85">
        <v>46387</v>
      </c>
    </row>
    <row r="16" spans="1:14" ht="112" x14ac:dyDescent="0.2">
      <c r="A16" s="65" t="s">
        <v>264</v>
      </c>
      <c r="B16" s="65" t="s">
        <v>72</v>
      </c>
      <c r="C16" s="62" t="s">
        <v>270</v>
      </c>
      <c r="D16" s="68">
        <f>Table8101213[[#This Row],[Euro - Amount]]*$D$2</f>
        <v>226800.00000000003</v>
      </c>
      <c r="E16" s="80">
        <v>210000</v>
      </c>
      <c r="F16" s="79">
        <f>Table8101213[[#This Row],[Total US$ ]]*$F$1</f>
        <v>3993948.0000000005</v>
      </c>
      <c r="G16" s="65" t="s">
        <v>84</v>
      </c>
      <c r="H16" s="64" t="s">
        <v>368</v>
      </c>
      <c r="I16" s="64"/>
      <c r="J16" s="64"/>
      <c r="K16" s="84" t="s">
        <v>494</v>
      </c>
      <c r="L16" s="63" t="s">
        <v>337</v>
      </c>
      <c r="M16" s="85">
        <v>44927</v>
      </c>
      <c r="N16" s="85">
        <v>45657</v>
      </c>
    </row>
    <row r="17" spans="1:17" s="30" customFormat="1" ht="192" x14ac:dyDescent="0.2">
      <c r="A17" s="65" t="s">
        <v>682</v>
      </c>
      <c r="B17" s="65" t="s">
        <v>73</v>
      </c>
      <c r="C17" s="62" t="s">
        <v>683</v>
      </c>
      <c r="D17" s="68">
        <f>Table8101213[[#This Row],[Euro - Amount]]*$D$2</f>
        <v>128520.00000000001</v>
      </c>
      <c r="E17" s="80">
        <v>119000</v>
      </c>
      <c r="F17" s="79">
        <f>Table8101213[[#This Row],[Total US$ ]]*$F$1</f>
        <v>2263237.2000000002</v>
      </c>
      <c r="G17" s="65" t="s">
        <v>84</v>
      </c>
      <c r="H17" s="64" t="s">
        <v>684</v>
      </c>
      <c r="I17" s="64"/>
      <c r="J17" s="64"/>
      <c r="K17" s="84" t="s">
        <v>494</v>
      </c>
      <c r="L17" s="63" t="s">
        <v>685</v>
      </c>
      <c r="M17" s="86">
        <v>44927</v>
      </c>
      <c r="N17" s="86">
        <v>45808</v>
      </c>
    </row>
    <row r="18" spans="1:17" s="30" customFormat="1" ht="304" x14ac:dyDescent="0.2">
      <c r="A18" s="65" t="s">
        <v>265</v>
      </c>
      <c r="B18" s="65" t="s">
        <v>73</v>
      </c>
      <c r="C18" s="62" t="s">
        <v>692</v>
      </c>
      <c r="D18" s="68">
        <f>Table8101213[[#This Row],[Euro - Amount]]*$D$2</f>
        <v>34560</v>
      </c>
      <c r="E18" s="80">
        <v>32000</v>
      </c>
      <c r="F18" s="79">
        <f>Table8101213[[#This Row],[Total US$ ]]*$F$1</f>
        <v>608601.59999999998</v>
      </c>
      <c r="G18" s="65" t="s">
        <v>84</v>
      </c>
      <c r="H18" s="64" t="s">
        <v>697</v>
      </c>
      <c r="I18" s="64"/>
      <c r="J18" s="64"/>
      <c r="K18" s="84" t="s">
        <v>494</v>
      </c>
      <c r="L18" s="63" t="s">
        <v>706</v>
      </c>
      <c r="M18" s="86">
        <v>44927</v>
      </c>
      <c r="N18" s="86">
        <v>45808</v>
      </c>
    </row>
    <row r="19" spans="1:17" s="30" customFormat="1" ht="96" x14ac:dyDescent="0.2">
      <c r="A19" s="65" t="s">
        <v>686</v>
      </c>
      <c r="B19" s="65" t="s">
        <v>72</v>
      </c>
      <c r="C19" s="62" t="s">
        <v>692</v>
      </c>
      <c r="D19" s="68">
        <f>Table8101213[[#This Row],[Euro - Amount]]*$D$2</f>
        <v>75600</v>
      </c>
      <c r="E19" s="80">
        <v>70000</v>
      </c>
      <c r="F19" s="79">
        <f>Table8101213[[#This Row],[Total US$ ]]*$F$1</f>
        <v>1331316</v>
      </c>
      <c r="G19" s="65" t="s">
        <v>84</v>
      </c>
      <c r="H19" s="64" t="s">
        <v>698</v>
      </c>
      <c r="I19" s="64"/>
      <c r="J19" s="64"/>
      <c r="K19" s="84" t="s">
        <v>494</v>
      </c>
      <c r="L19" s="63" t="s">
        <v>707</v>
      </c>
      <c r="M19" s="86">
        <v>44927</v>
      </c>
      <c r="N19" s="86">
        <v>45808</v>
      </c>
    </row>
    <row r="20" spans="1:17" s="30" customFormat="1" ht="32" x14ac:dyDescent="0.2">
      <c r="A20" s="65" t="s">
        <v>687</v>
      </c>
      <c r="B20" s="65" t="s">
        <v>468</v>
      </c>
      <c r="C20" s="62" t="s">
        <v>693</v>
      </c>
      <c r="D20" s="68">
        <f>Table8101213[[#This Row],[Euro - Amount]]*$D$2</f>
        <v>216000</v>
      </c>
      <c r="E20" s="80">
        <v>200000</v>
      </c>
      <c r="F20" s="79">
        <f>Table8101213[[#This Row],[Total US$ ]]*$F$1</f>
        <v>3803760</v>
      </c>
      <c r="G20" s="65" t="s">
        <v>84</v>
      </c>
      <c r="H20" s="64" t="s">
        <v>37</v>
      </c>
      <c r="I20" s="64" t="s">
        <v>2</v>
      </c>
      <c r="J20" s="64"/>
      <c r="K20" s="84" t="s">
        <v>494</v>
      </c>
      <c r="L20" s="62" t="s">
        <v>708</v>
      </c>
      <c r="M20" s="86"/>
      <c r="N20" s="86"/>
    </row>
    <row r="21" spans="1:17" s="30" customFormat="1" ht="48" x14ac:dyDescent="0.2">
      <c r="A21" s="65" t="s">
        <v>688</v>
      </c>
      <c r="B21" s="65" t="s">
        <v>72</v>
      </c>
      <c r="C21" s="62" t="s">
        <v>694</v>
      </c>
      <c r="D21" s="68">
        <f>Table8101213[[#This Row],[Euro - Amount]]*$D$2</f>
        <v>97200</v>
      </c>
      <c r="E21" s="80">
        <v>90000</v>
      </c>
      <c r="F21" s="79">
        <f>Table8101213[[#This Row],[Total US$ ]]*$F$1</f>
        <v>1711692</v>
      </c>
      <c r="G21" s="65" t="s">
        <v>84</v>
      </c>
      <c r="H21" s="64" t="s">
        <v>699</v>
      </c>
      <c r="I21" s="64" t="s">
        <v>700</v>
      </c>
      <c r="J21" s="64" t="s">
        <v>701</v>
      </c>
      <c r="K21" s="84" t="s">
        <v>494</v>
      </c>
      <c r="L21" s="62" t="s">
        <v>709</v>
      </c>
      <c r="M21" s="86">
        <v>45539</v>
      </c>
      <c r="N21" s="86">
        <v>45962</v>
      </c>
    </row>
    <row r="22" spans="1:17" s="30" customFormat="1" ht="32" x14ac:dyDescent="0.2">
      <c r="A22" s="65" t="s">
        <v>689</v>
      </c>
      <c r="B22" s="65" t="s">
        <v>73</v>
      </c>
      <c r="C22" s="62" t="s">
        <v>695</v>
      </c>
      <c r="D22" s="68">
        <f>Table8101213[[#This Row],[Euro - Amount]]*$D$2</f>
        <v>216000</v>
      </c>
      <c r="E22" s="80">
        <v>200000</v>
      </c>
      <c r="F22" s="79">
        <f>Table8101213[[#This Row],[Total US$ ]]*$F$1</f>
        <v>3803760</v>
      </c>
      <c r="G22" s="65" t="s">
        <v>84</v>
      </c>
      <c r="H22" s="64" t="s">
        <v>702</v>
      </c>
      <c r="I22" s="64" t="s">
        <v>703</v>
      </c>
      <c r="J22" s="64" t="s">
        <v>703</v>
      </c>
      <c r="K22" s="84" t="s">
        <v>251</v>
      </c>
      <c r="L22" s="62" t="s">
        <v>710</v>
      </c>
      <c r="M22" s="86">
        <v>45597</v>
      </c>
      <c r="N22" s="86">
        <v>46692</v>
      </c>
    </row>
    <row r="23" spans="1:17" s="30" customFormat="1" ht="48" x14ac:dyDescent="0.2">
      <c r="A23" s="65" t="s">
        <v>691</v>
      </c>
      <c r="B23" s="65" t="s">
        <v>73</v>
      </c>
      <c r="C23" s="62" t="s">
        <v>696</v>
      </c>
      <c r="D23" s="68">
        <f>Table8101213[[#This Row],[Euro - Amount]]*$D$2</f>
        <v>54000</v>
      </c>
      <c r="E23" s="80">
        <v>50000</v>
      </c>
      <c r="F23" s="79">
        <f>Table8101213[[#This Row],[Total US$ ]]*$F$1</f>
        <v>950940</v>
      </c>
      <c r="G23" s="65" t="s">
        <v>84</v>
      </c>
      <c r="H23" s="64" t="s">
        <v>704</v>
      </c>
      <c r="I23" s="64" t="s">
        <v>705</v>
      </c>
      <c r="J23" s="64" t="s">
        <v>705</v>
      </c>
      <c r="K23" s="84" t="s">
        <v>251</v>
      </c>
      <c r="L23" s="63" t="s">
        <v>711</v>
      </c>
      <c r="M23" s="86">
        <v>44927</v>
      </c>
      <c r="N23" s="85">
        <v>46022</v>
      </c>
    </row>
    <row r="24" spans="1:17" x14ac:dyDescent="0.2">
      <c r="A24" s="2"/>
      <c r="B24" s="2"/>
      <c r="C24" s="13"/>
      <c r="D24" s="59">
        <f>SUBTOTAL(109,Table8101213[Total US$ ])</f>
        <v>4144500</v>
      </c>
      <c r="E24" s="56">
        <f>SUBTOTAL(109,Table8101213[Euro - Amount])</f>
        <v>3837500</v>
      </c>
      <c r="F24" s="61">
        <f>SUBTOTAL(109,Table8101213[Total ZAR])</f>
        <v>72984645</v>
      </c>
      <c r="G24" s="91"/>
      <c r="H24" s="18"/>
      <c r="I24" s="18"/>
      <c r="J24" s="18"/>
      <c r="K24" s="92"/>
      <c r="L24" s="17"/>
      <c r="M24" s="19"/>
      <c r="N24" s="19"/>
    </row>
    <row r="25" spans="1:17" x14ac:dyDescent="0.2">
      <c r="A25" s="30"/>
      <c r="B25" s="22"/>
      <c r="C25" s="12"/>
      <c r="D25" s="25"/>
      <c r="E25" s="25"/>
      <c r="F25" s="27"/>
      <c r="G25" s="6"/>
      <c r="H25" s="7"/>
      <c r="I25" s="7"/>
      <c r="J25" s="7"/>
      <c r="K25" s="23"/>
      <c r="L25" s="7"/>
      <c r="M25" s="14"/>
      <c r="N25" s="14"/>
    </row>
    <row r="26" spans="1:17" ht="26" customHeight="1" x14ac:dyDescent="0.2">
      <c r="A26" s="230" t="s">
        <v>676</v>
      </c>
      <c r="B26" s="230"/>
      <c r="C26" s="230"/>
      <c r="D26" s="230"/>
      <c r="E26" s="230"/>
      <c r="F26" s="230"/>
      <c r="G26" s="230"/>
      <c r="H26" s="230"/>
      <c r="I26" s="230"/>
      <c r="J26" s="230"/>
      <c r="K26" s="230"/>
      <c r="L26" s="230"/>
      <c r="M26" s="230"/>
      <c r="N26" s="230"/>
      <c r="O26" s="230"/>
      <c r="P26" s="230"/>
      <c r="Q26" s="230"/>
    </row>
    <row r="27" spans="1:17" x14ac:dyDescent="0.2">
      <c r="B27" s="1"/>
      <c r="E27" s="1"/>
      <c r="F27" s="1"/>
      <c r="G27" s="8"/>
      <c r="H27" s="1"/>
      <c r="I27" s="1"/>
      <c r="J27" s="1"/>
      <c r="K27" s="3"/>
      <c r="M27" s="17"/>
      <c r="N27" s="19"/>
      <c r="O27" s="19"/>
    </row>
    <row r="28" spans="1:17" ht="15" customHeight="1" x14ac:dyDescent="0.2">
      <c r="A28" s="230" t="s">
        <v>561</v>
      </c>
      <c r="B28" s="230"/>
      <c r="C28" s="230"/>
      <c r="D28" s="230"/>
      <c r="E28" s="230"/>
      <c r="F28" s="230"/>
      <c r="G28" s="230"/>
      <c r="H28" s="230"/>
      <c r="I28" s="230"/>
      <c r="J28" s="230"/>
      <c r="K28" s="230"/>
      <c r="L28" s="230"/>
      <c r="M28" s="17"/>
      <c r="N28" s="19"/>
      <c r="O28" s="19"/>
    </row>
    <row r="29" spans="1:17" x14ac:dyDescent="0.2">
      <c r="A29" s="30"/>
      <c r="B29" s="34"/>
      <c r="C29" s="34"/>
      <c r="D29" s="40"/>
      <c r="E29" s="40"/>
      <c r="F29" s="27"/>
      <c r="G29" s="5"/>
      <c r="H29" s="36"/>
      <c r="I29" s="36"/>
      <c r="J29" s="36"/>
      <c r="K29" s="38"/>
      <c r="L29" s="36"/>
      <c r="M29" s="41"/>
      <c r="N29" s="41"/>
    </row>
    <row r="30" spans="1:17" x14ac:dyDescent="0.2">
      <c r="A30" s="2" t="s">
        <v>502</v>
      </c>
      <c r="B30" s="30"/>
      <c r="C30" s="6"/>
      <c r="D30" s="42"/>
      <c r="E30" s="42"/>
      <c r="F30" s="27"/>
      <c r="G30" s="5"/>
      <c r="H30" s="31"/>
      <c r="I30" s="31"/>
      <c r="J30" s="31"/>
      <c r="K30" s="23"/>
      <c r="L30" s="31"/>
      <c r="M30" s="33"/>
      <c r="N30" s="33"/>
    </row>
    <row r="31" spans="1:17" x14ac:dyDescent="0.2">
      <c r="A31" s="30"/>
      <c r="B31" s="34"/>
      <c r="C31" s="5"/>
      <c r="D31" s="40"/>
      <c r="E31" s="40"/>
      <c r="F31" s="27"/>
      <c r="G31" s="5"/>
      <c r="H31" s="36"/>
      <c r="I31" s="36"/>
      <c r="J31" s="36"/>
      <c r="K31" s="38"/>
      <c r="L31" s="36"/>
      <c r="M31" s="41"/>
      <c r="N31" s="41"/>
    </row>
    <row r="32" spans="1:17" x14ac:dyDescent="0.2">
      <c r="A32" s="30"/>
      <c r="B32" s="34"/>
      <c r="C32" s="35"/>
      <c r="D32" s="40"/>
      <c r="E32" s="40"/>
      <c r="F32" s="27"/>
      <c r="G32" s="5"/>
      <c r="H32" s="36"/>
      <c r="I32" s="36"/>
      <c r="J32" s="36"/>
      <c r="K32" s="38"/>
      <c r="L32" s="36"/>
      <c r="M32" s="41"/>
      <c r="N32" s="41"/>
    </row>
    <row r="33" spans="1:14" x14ac:dyDescent="0.2">
      <c r="A33" s="30"/>
      <c r="B33" s="30"/>
      <c r="C33" s="29"/>
      <c r="D33" s="42"/>
      <c r="E33" s="42"/>
      <c r="F33" s="27"/>
      <c r="G33" s="6"/>
      <c r="H33" s="31"/>
      <c r="I33" s="31"/>
      <c r="J33" s="31"/>
      <c r="K33" s="23"/>
      <c r="L33" s="31"/>
      <c r="M33" s="33"/>
      <c r="N33" s="33"/>
    </row>
    <row r="34" spans="1:14" x14ac:dyDescent="0.2">
      <c r="A34" s="30"/>
      <c r="B34" s="34"/>
      <c r="C34" s="35"/>
      <c r="D34" s="34"/>
      <c r="E34" s="34"/>
      <c r="F34" s="27"/>
      <c r="G34" s="5"/>
      <c r="H34" s="36"/>
      <c r="I34" s="36"/>
      <c r="J34" s="36"/>
      <c r="K34" s="38"/>
      <c r="L34" s="36"/>
      <c r="M34" s="41"/>
      <c r="N34" s="41"/>
    </row>
    <row r="35" spans="1:14" x14ac:dyDescent="0.2">
      <c r="A35" s="30"/>
      <c r="B35" s="34"/>
      <c r="C35" s="35"/>
      <c r="D35" s="34"/>
      <c r="E35" s="34"/>
      <c r="F35" s="27"/>
      <c r="G35" s="5"/>
      <c r="H35" s="36"/>
      <c r="I35" s="36"/>
      <c r="J35" s="36"/>
      <c r="K35" s="38"/>
      <c r="L35" s="36"/>
      <c r="M35" s="41"/>
      <c r="N35" s="41"/>
    </row>
    <row r="36" spans="1:14" x14ac:dyDescent="0.2">
      <c r="A36" s="30"/>
      <c r="B36" s="30"/>
      <c r="C36" s="35"/>
      <c r="D36" s="42"/>
      <c r="E36" s="42"/>
      <c r="F36" s="27"/>
      <c r="G36" s="6"/>
      <c r="H36" s="31"/>
      <c r="I36" s="31"/>
      <c r="J36" s="31"/>
      <c r="K36" s="23"/>
      <c r="L36" s="31"/>
      <c r="M36" s="33"/>
      <c r="N36" s="33"/>
    </row>
    <row r="37" spans="1:14" x14ac:dyDescent="0.2">
      <c r="A37" s="30"/>
      <c r="B37" s="30"/>
      <c r="C37" s="29"/>
      <c r="D37" s="42"/>
      <c r="E37" s="42"/>
      <c r="F37" s="27"/>
      <c r="G37" s="6"/>
      <c r="H37" s="31"/>
      <c r="I37" s="31"/>
      <c r="J37" s="31"/>
      <c r="K37" s="23"/>
      <c r="L37" s="31"/>
      <c r="M37" s="33"/>
      <c r="N37" s="33"/>
    </row>
    <row r="38" spans="1:14" x14ac:dyDescent="0.2">
      <c r="A38" s="30"/>
      <c r="B38" s="34"/>
      <c r="C38" s="35"/>
      <c r="D38" s="34"/>
      <c r="E38" s="34"/>
      <c r="F38" s="27"/>
      <c r="G38" s="6"/>
      <c r="H38" s="36"/>
      <c r="I38" s="36"/>
      <c r="J38" s="36"/>
      <c r="K38" s="37"/>
      <c r="L38" s="36"/>
      <c r="M38" s="41"/>
      <c r="N38" s="41"/>
    </row>
    <row r="39" spans="1:14" x14ac:dyDescent="0.2">
      <c r="A39" s="30"/>
      <c r="B39" s="30"/>
      <c r="C39" s="29"/>
      <c r="D39" s="42"/>
      <c r="E39" s="42"/>
      <c r="F39" s="27"/>
      <c r="G39" s="6"/>
      <c r="H39" s="31"/>
      <c r="I39" s="31"/>
      <c r="J39" s="31"/>
      <c r="K39" s="23"/>
      <c r="L39" s="31"/>
      <c r="M39" s="33"/>
      <c r="N39" s="33"/>
    </row>
    <row r="40" spans="1:14" x14ac:dyDescent="0.2">
      <c r="A40" s="30"/>
      <c r="B40" s="6"/>
      <c r="C40" s="17"/>
      <c r="D40" s="28"/>
      <c r="E40" s="28"/>
      <c r="F40" s="27"/>
      <c r="G40" s="6"/>
      <c r="H40" s="18"/>
      <c r="I40" s="18"/>
      <c r="J40" s="18"/>
      <c r="K40" s="49"/>
      <c r="L40" s="17"/>
      <c r="M40" s="19"/>
      <c r="N40" s="19"/>
    </row>
    <row r="41" spans="1:14" x14ac:dyDescent="0.2">
      <c r="A41" s="30"/>
      <c r="B41" s="6"/>
      <c r="C41" s="17"/>
      <c r="D41" s="28"/>
      <c r="E41" s="28"/>
      <c r="F41" s="27"/>
      <c r="G41" s="6"/>
      <c r="H41" s="18"/>
      <c r="I41" s="18"/>
      <c r="J41" s="18"/>
      <c r="K41" s="49"/>
      <c r="L41" s="17"/>
      <c r="M41" s="19"/>
      <c r="N41" s="19"/>
    </row>
    <row r="42" spans="1:14" x14ac:dyDescent="0.2">
      <c r="A42" s="30"/>
      <c r="B42" s="6"/>
      <c r="C42" s="17"/>
      <c r="D42" s="28"/>
      <c r="E42" s="28"/>
      <c r="F42" s="27"/>
      <c r="G42" s="6"/>
      <c r="H42" s="18"/>
      <c r="I42" s="18"/>
      <c r="J42" s="18"/>
      <c r="K42" s="49"/>
      <c r="L42" s="17"/>
      <c r="M42" s="19"/>
      <c r="N42" s="19"/>
    </row>
    <row r="43" spans="1:14" x14ac:dyDescent="0.2">
      <c r="A43" s="30"/>
      <c r="B43" s="6"/>
      <c r="C43" s="17"/>
      <c r="D43" s="28"/>
      <c r="E43" s="28"/>
      <c r="F43" s="27"/>
      <c r="G43" s="6"/>
      <c r="H43" s="18"/>
      <c r="I43" s="18"/>
      <c r="J43" s="18"/>
      <c r="K43" s="49"/>
      <c r="L43" s="17"/>
      <c r="M43" s="19"/>
      <c r="N43" s="19"/>
    </row>
    <row r="44" spans="1:14" x14ac:dyDescent="0.2">
      <c r="A44" s="30"/>
      <c r="B44" s="6"/>
      <c r="C44" s="17"/>
      <c r="D44" s="28"/>
      <c r="E44" s="28"/>
      <c r="F44" s="27"/>
      <c r="G44" s="6"/>
      <c r="H44" s="18"/>
      <c r="I44" s="18"/>
      <c r="J44" s="18"/>
      <c r="K44" s="49"/>
      <c r="L44" s="17"/>
      <c r="M44" s="19"/>
      <c r="N44" s="19"/>
    </row>
    <row r="45" spans="1:14" x14ac:dyDescent="0.2">
      <c r="A45" s="30"/>
      <c r="B45" s="6"/>
      <c r="C45" s="17"/>
      <c r="D45" s="28"/>
      <c r="E45" s="28"/>
      <c r="F45" s="27"/>
      <c r="G45" s="6"/>
      <c r="H45" s="18"/>
      <c r="I45" s="18"/>
      <c r="J45" s="18"/>
      <c r="K45" s="49"/>
      <c r="L45" s="17"/>
      <c r="M45" s="19"/>
      <c r="N45" s="19"/>
    </row>
    <row r="46" spans="1:14" x14ac:dyDescent="0.2">
      <c r="A46" s="30"/>
      <c r="B46" s="6"/>
      <c r="C46" s="17"/>
      <c r="D46" s="28"/>
      <c r="E46" s="28"/>
      <c r="F46" s="27"/>
      <c r="G46" s="6"/>
      <c r="H46" s="18"/>
      <c r="I46" s="18"/>
      <c r="J46" s="18"/>
      <c r="K46" s="49"/>
      <c r="L46" s="17"/>
      <c r="M46" s="19"/>
      <c r="N46" s="19"/>
    </row>
    <row r="47" spans="1:14" x14ac:dyDescent="0.2">
      <c r="A47" s="30"/>
      <c r="B47" s="6"/>
      <c r="C47" s="17"/>
      <c r="D47" s="28"/>
      <c r="E47" s="28"/>
      <c r="F47" s="27"/>
      <c r="G47" s="6"/>
      <c r="H47" s="18"/>
      <c r="I47" s="18"/>
      <c r="J47" s="18"/>
      <c r="K47" s="49"/>
      <c r="L47" s="17"/>
      <c r="M47" s="19"/>
      <c r="N47" s="19"/>
    </row>
    <row r="48" spans="1:14" x14ac:dyDescent="0.2">
      <c r="A48" s="30"/>
      <c r="B48" s="6"/>
      <c r="C48" s="17"/>
      <c r="D48" s="28"/>
      <c r="E48" s="28"/>
      <c r="F48" s="27"/>
      <c r="G48" s="6"/>
      <c r="H48" s="18"/>
      <c r="I48" s="18"/>
      <c r="J48" s="18"/>
      <c r="K48" s="49"/>
      <c r="L48" s="17"/>
      <c r="M48" s="19"/>
      <c r="N48" s="19"/>
    </row>
    <row r="49" spans="1:14" x14ac:dyDescent="0.2">
      <c r="A49" s="30"/>
      <c r="B49" s="6"/>
      <c r="C49" s="17"/>
      <c r="D49" s="28"/>
      <c r="E49" s="28"/>
      <c r="F49" s="27"/>
      <c r="G49" s="6"/>
      <c r="H49" s="18"/>
      <c r="I49" s="18"/>
      <c r="J49" s="18"/>
      <c r="K49" s="49"/>
      <c r="L49" s="17"/>
      <c r="M49" s="19"/>
      <c r="N49" s="19"/>
    </row>
    <row r="50" spans="1:14" x14ac:dyDescent="0.2">
      <c r="A50" s="30"/>
      <c r="B50" s="6"/>
      <c r="C50" s="17"/>
      <c r="D50" s="28"/>
      <c r="E50" s="28"/>
      <c r="F50" s="27"/>
      <c r="G50" s="6"/>
      <c r="H50" s="18"/>
      <c r="I50" s="18"/>
      <c r="J50" s="18"/>
      <c r="K50" s="49"/>
      <c r="L50" s="17"/>
      <c r="M50" s="19"/>
      <c r="N50" s="19"/>
    </row>
    <row r="51" spans="1:14" x14ac:dyDescent="0.2">
      <c r="A51" s="30"/>
      <c r="B51" s="6"/>
      <c r="C51" s="17"/>
      <c r="D51" s="28"/>
      <c r="E51" s="28"/>
      <c r="F51" s="27"/>
      <c r="G51" s="6"/>
      <c r="H51" s="18"/>
      <c r="I51" s="18"/>
      <c r="J51" s="18"/>
      <c r="K51" s="49"/>
      <c r="L51" s="17"/>
      <c r="M51" s="19"/>
      <c r="N51" s="19"/>
    </row>
    <row r="52" spans="1:14" x14ac:dyDescent="0.2">
      <c r="A52" s="30"/>
      <c r="B52" s="6"/>
      <c r="C52" s="17"/>
      <c r="D52" s="28"/>
      <c r="E52" s="28"/>
      <c r="F52" s="27"/>
      <c r="G52" s="6"/>
      <c r="H52" s="18"/>
      <c r="I52" s="18"/>
      <c r="J52" s="18"/>
      <c r="K52" s="49"/>
      <c r="L52" s="17"/>
      <c r="M52" s="19"/>
      <c r="N52" s="19"/>
    </row>
    <row r="53" spans="1:14" x14ac:dyDescent="0.2">
      <c r="A53" s="30"/>
      <c r="B53" s="6"/>
      <c r="C53" s="17"/>
      <c r="D53" s="28"/>
      <c r="E53" s="28"/>
      <c r="F53" s="27"/>
      <c r="G53" s="6"/>
      <c r="H53" s="18"/>
      <c r="I53" s="18"/>
      <c r="J53" s="18"/>
      <c r="K53" s="49"/>
      <c r="L53" s="17"/>
      <c r="M53" s="19"/>
      <c r="N53" s="19"/>
    </row>
    <row r="54" spans="1:14" x14ac:dyDescent="0.2">
      <c r="A54" s="30"/>
      <c r="B54" s="6"/>
      <c r="C54" s="17"/>
      <c r="D54" s="28"/>
      <c r="E54" s="28"/>
      <c r="F54" s="27"/>
      <c r="G54" s="6"/>
      <c r="H54" s="18"/>
      <c r="I54" s="18"/>
      <c r="J54" s="18"/>
      <c r="K54" s="49"/>
      <c r="L54" s="17"/>
      <c r="M54" s="19"/>
      <c r="N54" s="19"/>
    </row>
    <row r="55" spans="1:14" x14ac:dyDescent="0.2">
      <c r="A55" s="30"/>
      <c r="B55" s="6"/>
      <c r="C55" s="17"/>
      <c r="D55" s="28"/>
      <c r="E55" s="28"/>
      <c r="F55" s="27"/>
      <c r="G55" s="6"/>
      <c r="H55" s="18"/>
      <c r="I55" s="18"/>
      <c r="J55" s="18"/>
      <c r="K55" s="49"/>
      <c r="L55" s="17"/>
      <c r="M55" s="19"/>
      <c r="N55" s="19"/>
    </row>
    <row r="56" spans="1:14" x14ac:dyDescent="0.2">
      <c r="A56" s="30"/>
      <c r="B56" s="6"/>
      <c r="C56" s="17"/>
      <c r="D56" s="28"/>
      <c r="E56" s="28"/>
      <c r="F56" s="27"/>
      <c r="G56" s="6"/>
      <c r="H56" s="18"/>
      <c r="I56" s="18"/>
      <c r="J56" s="18"/>
      <c r="K56" s="49"/>
      <c r="L56" s="17"/>
      <c r="M56" s="19"/>
      <c r="N56" s="19"/>
    </row>
    <row r="57" spans="1:14" x14ac:dyDescent="0.2">
      <c r="A57" s="30"/>
      <c r="B57" s="6"/>
      <c r="C57" s="17"/>
      <c r="D57" s="28"/>
      <c r="E57" s="28"/>
      <c r="F57" s="27"/>
      <c r="G57" s="6"/>
      <c r="H57" s="18"/>
      <c r="I57" s="18"/>
      <c r="J57" s="18"/>
      <c r="K57" s="49"/>
      <c r="L57" s="17"/>
      <c r="M57" s="19"/>
      <c r="N57" s="19"/>
    </row>
    <row r="58" spans="1:14" x14ac:dyDescent="0.2">
      <c r="A58" s="30"/>
      <c r="B58" s="6"/>
      <c r="C58" s="17"/>
      <c r="D58" s="28"/>
      <c r="E58" s="28"/>
      <c r="F58" s="27"/>
      <c r="G58" s="6"/>
      <c r="H58" s="18"/>
      <c r="I58" s="18"/>
      <c r="J58" s="18"/>
      <c r="K58" s="49"/>
      <c r="L58" s="17"/>
      <c r="M58" s="19"/>
      <c r="N58" s="19"/>
    </row>
    <row r="59" spans="1:14" x14ac:dyDescent="0.2">
      <c r="A59" s="30"/>
      <c r="B59" s="6"/>
      <c r="C59" s="17"/>
      <c r="D59" s="28"/>
      <c r="E59" s="28"/>
      <c r="F59" s="27"/>
      <c r="G59" s="6"/>
      <c r="H59" s="18"/>
      <c r="I59" s="18"/>
      <c r="J59" s="18"/>
      <c r="K59" s="49"/>
      <c r="L59" s="17"/>
      <c r="M59" s="19"/>
      <c r="N59" s="19"/>
    </row>
    <row r="60" spans="1:14" x14ac:dyDescent="0.2">
      <c r="A60" s="30"/>
      <c r="B60" s="6"/>
      <c r="C60" s="17"/>
      <c r="D60" s="28"/>
      <c r="E60" s="28"/>
      <c r="F60" s="27"/>
      <c r="G60" s="6"/>
      <c r="H60" s="18"/>
      <c r="I60" s="18"/>
      <c r="J60" s="18"/>
      <c r="K60" s="49"/>
      <c r="L60" s="17"/>
      <c r="M60" s="19"/>
      <c r="N60" s="19"/>
    </row>
    <row r="61" spans="1:14" x14ac:dyDescent="0.2">
      <c r="A61" s="30"/>
      <c r="B61" s="6"/>
      <c r="C61" s="17"/>
      <c r="D61" s="28"/>
      <c r="E61" s="28"/>
      <c r="F61" s="27"/>
      <c r="G61" s="6"/>
      <c r="H61" s="18"/>
      <c r="I61" s="18"/>
      <c r="J61" s="18"/>
      <c r="K61" s="49"/>
      <c r="L61" s="17"/>
      <c r="M61" s="19"/>
      <c r="N61" s="19"/>
    </row>
    <row r="62" spans="1:14" x14ac:dyDescent="0.2">
      <c r="A62" s="30"/>
      <c r="B62" s="6"/>
      <c r="C62" s="17"/>
      <c r="D62" s="28"/>
      <c r="E62" s="28"/>
      <c r="F62" s="27"/>
      <c r="G62" s="6"/>
      <c r="H62" s="18"/>
      <c r="I62" s="18"/>
      <c r="J62" s="18"/>
      <c r="K62" s="49"/>
      <c r="L62" s="17"/>
      <c r="M62" s="19"/>
      <c r="N62" s="19"/>
    </row>
    <row r="63" spans="1:14" x14ac:dyDescent="0.2">
      <c r="A63" s="30"/>
      <c r="B63" s="6"/>
      <c r="C63" s="17"/>
      <c r="D63" s="28"/>
      <c r="E63" s="28"/>
      <c r="F63" s="27"/>
      <c r="G63" s="6"/>
      <c r="H63" s="18"/>
      <c r="I63" s="18"/>
      <c r="J63" s="18"/>
      <c r="K63" s="49"/>
      <c r="L63" s="17"/>
      <c r="M63" s="19"/>
      <c r="N63" s="19"/>
    </row>
    <row r="64" spans="1:14" x14ac:dyDescent="0.2">
      <c r="A64" s="30"/>
      <c r="B64" s="6"/>
      <c r="C64" s="17"/>
      <c r="D64" s="28"/>
      <c r="E64" s="28"/>
      <c r="F64" s="27"/>
      <c r="G64" s="6"/>
      <c r="H64" s="18"/>
      <c r="I64" s="18"/>
      <c r="J64" s="18"/>
      <c r="K64" s="49"/>
      <c r="L64" s="17"/>
      <c r="M64" s="19"/>
      <c r="N64" s="19"/>
    </row>
    <row r="65" spans="1:14" x14ac:dyDescent="0.2">
      <c r="A65" s="30"/>
      <c r="B65" s="6"/>
      <c r="C65" s="17"/>
      <c r="D65" s="28"/>
      <c r="E65" s="28"/>
      <c r="F65" s="27"/>
      <c r="G65" s="6"/>
      <c r="H65" s="18"/>
      <c r="I65" s="18"/>
      <c r="J65" s="18"/>
      <c r="K65" s="49"/>
      <c r="L65" s="17"/>
      <c r="M65" s="19"/>
      <c r="N65" s="19"/>
    </row>
    <row r="66" spans="1:14" x14ac:dyDescent="0.2">
      <c r="A66" s="30"/>
      <c r="B66" s="6"/>
      <c r="C66" s="17"/>
      <c r="D66" s="28"/>
      <c r="E66" s="28"/>
      <c r="F66" s="27"/>
      <c r="G66" s="6"/>
      <c r="H66" s="18"/>
      <c r="I66" s="18"/>
      <c r="J66" s="18"/>
      <c r="K66" s="49"/>
      <c r="L66" s="17"/>
      <c r="M66" s="19"/>
      <c r="N66" s="19"/>
    </row>
    <row r="67" spans="1:14" x14ac:dyDescent="0.2">
      <c r="A67" s="30"/>
      <c r="B67" s="6"/>
      <c r="C67" s="17"/>
      <c r="D67" s="28"/>
      <c r="E67" s="28"/>
      <c r="F67" s="27"/>
      <c r="G67" s="6"/>
      <c r="H67" s="18"/>
      <c r="I67" s="18"/>
      <c r="J67" s="18"/>
      <c r="K67" s="49"/>
      <c r="L67" s="17"/>
      <c r="M67" s="19"/>
      <c r="N67" s="19"/>
    </row>
    <row r="68" spans="1:14" x14ac:dyDescent="0.2">
      <c r="A68" s="30"/>
      <c r="B68" s="6"/>
      <c r="C68" s="17"/>
      <c r="D68" s="28"/>
      <c r="E68" s="28"/>
      <c r="F68" s="27"/>
      <c r="G68" s="6"/>
      <c r="H68" s="18"/>
      <c r="I68" s="18"/>
      <c r="J68" s="18"/>
      <c r="K68" s="49"/>
      <c r="L68" s="17"/>
      <c r="M68" s="19"/>
      <c r="N68" s="19"/>
    </row>
    <row r="69" spans="1:14" x14ac:dyDescent="0.2">
      <c r="A69" s="30"/>
      <c r="B69" s="6"/>
      <c r="C69" s="17"/>
      <c r="D69" s="28"/>
      <c r="E69" s="28"/>
      <c r="F69" s="27"/>
      <c r="G69" s="6"/>
      <c r="H69" s="18"/>
      <c r="I69" s="18"/>
      <c r="J69" s="18"/>
      <c r="K69" s="49"/>
      <c r="L69" s="17"/>
      <c r="M69" s="19"/>
      <c r="N69" s="19"/>
    </row>
    <row r="70" spans="1:14" x14ac:dyDescent="0.2">
      <c r="A70" s="30"/>
      <c r="B70" s="6"/>
      <c r="C70" s="17"/>
      <c r="D70" s="28"/>
      <c r="E70" s="28"/>
      <c r="F70" s="27"/>
      <c r="G70" s="6"/>
      <c r="H70" s="18"/>
      <c r="I70" s="18"/>
      <c r="J70" s="18"/>
      <c r="K70" s="49"/>
      <c r="L70" s="17"/>
      <c r="M70" s="19"/>
      <c r="N70" s="19"/>
    </row>
    <row r="71" spans="1:14" x14ac:dyDescent="0.2">
      <c r="A71" s="30"/>
      <c r="B71" s="6"/>
      <c r="C71" s="17"/>
      <c r="D71" s="28"/>
      <c r="E71" s="28"/>
      <c r="F71" s="27"/>
      <c r="G71" s="6"/>
      <c r="H71" s="18"/>
      <c r="I71" s="18"/>
      <c r="J71" s="18"/>
      <c r="K71" s="49"/>
      <c r="L71" s="17"/>
      <c r="M71" s="19"/>
      <c r="N71" s="19"/>
    </row>
    <row r="72" spans="1:14" x14ac:dyDescent="0.2">
      <c r="A72" s="30"/>
      <c r="B72" s="6"/>
      <c r="C72" s="17"/>
      <c r="D72" s="28"/>
      <c r="E72" s="28"/>
      <c r="F72" s="27"/>
      <c r="G72" s="6"/>
      <c r="H72" s="18"/>
      <c r="I72" s="18"/>
      <c r="J72" s="18"/>
      <c r="K72" s="49"/>
      <c r="L72" s="17"/>
      <c r="M72" s="19"/>
      <c r="N72" s="19"/>
    </row>
    <row r="73" spans="1:14" x14ac:dyDescent="0.2">
      <c r="A73" s="30"/>
      <c r="B73" s="6"/>
      <c r="C73" s="17"/>
      <c r="D73" s="28"/>
      <c r="E73" s="28"/>
      <c r="F73" s="27"/>
      <c r="G73" s="6"/>
      <c r="H73" s="18"/>
      <c r="I73" s="18"/>
      <c r="J73" s="18"/>
      <c r="K73" s="49"/>
      <c r="L73" s="17"/>
      <c r="M73" s="19"/>
      <c r="N73" s="19"/>
    </row>
    <row r="74" spans="1:14" x14ac:dyDescent="0.2">
      <c r="A74" s="30"/>
      <c r="B74" s="6"/>
      <c r="C74" s="17"/>
      <c r="D74" s="28"/>
      <c r="E74" s="28"/>
      <c r="F74" s="27"/>
      <c r="G74" s="6"/>
      <c r="H74" s="18"/>
      <c r="I74" s="18"/>
      <c r="J74" s="18"/>
      <c r="K74" s="49"/>
      <c r="L74" s="17"/>
      <c r="M74" s="19"/>
      <c r="N74" s="19"/>
    </row>
    <row r="75" spans="1:14" x14ac:dyDescent="0.2">
      <c r="A75" s="30"/>
      <c r="B75" s="6"/>
      <c r="C75" s="17"/>
      <c r="D75" s="28"/>
      <c r="E75" s="28"/>
      <c r="F75" s="27"/>
      <c r="G75" s="6"/>
      <c r="H75" s="18"/>
      <c r="I75" s="18"/>
      <c r="J75" s="18"/>
      <c r="K75" s="49"/>
      <c r="L75" s="17"/>
      <c r="M75" s="19"/>
      <c r="N75" s="19"/>
    </row>
    <row r="76" spans="1:14" x14ac:dyDescent="0.2">
      <c r="A76" s="30"/>
      <c r="B76" s="6"/>
      <c r="C76" s="17"/>
      <c r="D76" s="28"/>
      <c r="E76" s="28"/>
      <c r="F76" s="27"/>
      <c r="G76" s="6"/>
      <c r="H76" s="18"/>
      <c r="I76" s="18"/>
      <c r="J76" s="18"/>
      <c r="K76" s="49"/>
      <c r="L76" s="17"/>
      <c r="M76" s="19"/>
      <c r="N76" s="19"/>
    </row>
    <row r="77" spans="1:14" x14ac:dyDescent="0.2">
      <c r="A77" s="30"/>
      <c r="B77" s="6"/>
      <c r="C77" s="17"/>
      <c r="D77" s="28"/>
      <c r="E77" s="28"/>
      <c r="F77" s="27"/>
      <c r="G77" s="6"/>
      <c r="H77" s="18"/>
      <c r="I77" s="18"/>
      <c r="J77" s="18"/>
      <c r="K77" s="49"/>
      <c r="L77" s="17"/>
      <c r="M77" s="19"/>
      <c r="N77" s="19"/>
    </row>
    <row r="78" spans="1:14" x14ac:dyDescent="0.2">
      <c r="A78" s="30"/>
      <c r="B78" s="6"/>
      <c r="C78" s="17"/>
      <c r="D78" s="28"/>
      <c r="E78" s="28"/>
      <c r="F78" s="27"/>
      <c r="G78" s="6"/>
      <c r="H78" s="18"/>
      <c r="I78" s="18"/>
      <c r="J78" s="18"/>
      <c r="K78" s="49"/>
      <c r="L78" s="17"/>
      <c r="M78" s="19"/>
      <c r="N78" s="19"/>
    </row>
    <row r="79" spans="1:14" x14ac:dyDescent="0.2">
      <c r="A79" s="30"/>
      <c r="B79" s="6"/>
      <c r="C79" s="17"/>
      <c r="D79" s="28"/>
      <c r="E79" s="28"/>
      <c r="F79" s="27"/>
      <c r="G79" s="6"/>
      <c r="H79" s="18"/>
      <c r="I79" s="18"/>
      <c r="J79" s="18"/>
      <c r="K79" s="49"/>
      <c r="L79" s="17"/>
      <c r="M79" s="19"/>
      <c r="N79" s="19"/>
    </row>
    <row r="80" spans="1:14" x14ac:dyDescent="0.2">
      <c r="A80" s="30"/>
      <c r="B80" s="6"/>
      <c r="C80" s="17"/>
      <c r="D80" s="28"/>
      <c r="E80" s="28"/>
      <c r="F80" s="27"/>
      <c r="G80" s="6"/>
      <c r="H80" s="18"/>
      <c r="I80" s="18"/>
      <c r="J80" s="18"/>
      <c r="K80" s="49"/>
      <c r="L80" s="17"/>
      <c r="M80" s="19"/>
      <c r="N80" s="19"/>
    </row>
    <row r="81" spans="1:14" x14ac:dyDescent="0.2">
      <c r="A81" s="30"/>
      <c r="B81" s="6"/>
      <c r="C81" s="17"/>
      <c r="D81" s="28"/>
      <c r="E81" s="28"/>
      <c r="F81" s="27"/>
      <c r="G81" s="6"/>
      <c r="H81" s="18"/>
      <c r="I81" s="18"/>
      <c r="J81" s="18"/>
      <c r="K81" s="49"/>
      <c r="L81" s="17"/>
      <c r="M81" s="19"/>
      <c r="N81" s="19"/>
    </row>
    <row r="82" spans="1:14" x14ac:dyDescent="0.2">
      <c r="A82" s="30"/>
      <c r="B82" s="6"/>
      <c r="C82" s="17"/>
      <c r="D82" s="28"/>
      <c r="E82" s="28"/>
      <c r="F82" s="27"/>
      <c r="G82" s="6"/>
      <c r="H82" s="18"/>
      <c r="I82" s="18"/>
      <c r="J82" s="18"/>
      <c r="K82" s="49"/>
      <c r="L82" s="17"/>
      <c r="M82" s="19"/>
      <c r="N82" s="19"/>
    </row>
    <row r="83" spans="1:14" x14ac:dyDescent="0.2">
      <c r="A83" s="30"/>
      <c r="B83" s="6"/>
      <c r="C83" s="17"/>
      <c r="D83" s="28"/>
      <c r="E83" s="28"/>
      <c r="F83" s="27"/>
      <c r="G83" s="6"/>
      <c r="H83" s="18"/>
      <c r="I83" s="18"/>
      <c r="J83" s="18"/>
      <c r="K83" s="49"/>
      <c r="L83" s="17"/>
      <c r="M83" s="19"/>
      <c r="N83" s="19"/>
    </row>
    <row r="84" spans="1:14" x14ac:dyDescent="0.2">
      <c r="A84" s="30"/>
      <c r="B84" s="6"/>
      <c r="C84" s="17"/>
      <c r="D84" s="28"/>
      <c r="E84" s="28"/>
      <c r="F84" s="27"/>
      <c r="G84" s="6"/>
      <c r="H84" s="18"/>
      <c r="I84" s="18"/>
      <c r="J84" s="18"/>
      <c r="K84" s="49"/>
      <c r="L84" s="17"/>
      <c r="M84" s="19"/>
      <c r="N84" s="19"/>
    </row>
    <row r="85" spans="1:14" x14ac:dyDescent="0.2">
      <c r="A85" s="30"/>
      <c r="B85" s="6"/>
      <c r="C85" s="17"/>
      <c r="D85" s="28"/>
      <c r="E85" s="28"/>
      <c r="F85" s="27"/>
      <c r="G85" s="6"/>
      <c r="H85" s="18"/>
      <c r="I85" s="18"/>
      <c r="J85" s="18"/>
      <c r="K85" s="49"/>
      <c r="L85" s="17"/>
      <c r="M85" s="19"/>
      <c r="N85" s="19"/>
    </row>
    <row r="86" spans="1:14" x14ac:dyDescent="0.2">
      <c r="A86" s="30"/>
      <c r="B86" s="6"/>
      <c r="C86" s="17"/>
      <c r="D86" s="28"/>
      <c r="E86" s="28"/>
      <c r="F86" s="27"/>
      <c r="G86" s="6"/>
      <c r="H86" s="18"/>
      <c r="I86" s="18"/>
      <c r="J86" s="18"/>
      <c r="K86" s="49"/>
      <c r="L86" s="17"/>
      <c r="M86" s="19"/>
      <c r="N86" s="19"/>
    </row>
    <row r="87" spans="1:14" x14ac:dyDescent="0.2">
      <c r="A87" s="30"/>
      <c r="B87" s="6"/>
      <c r="C87" s="17"/>
      <c r="D87" s="28"/>
      <c r="E87" s="28"/>
      <c r="F87" s="27"/>
      <c r="G87" s="6"/>
      <c r="H87" s="18"/>
      <c r="I87" s="18"/>
      <c r="J87" s="18"/>
      <c r="K87" s="49"/>
      <c r="L87" s="17"/>
      <c r="M87" s="19"/>
      <c r="N87" s="19"/>
    </row>
    <row r="88" spans="1:14" x14ac:dyDescent="0.2">
      <c r="A88" s="30"/>
      <c r="B88" s="6"/>
      <c r="C88" s="17"/>
      <c r="D88" s="28"/>
      <c r="E88" s="28"/>
      <c r="F88" s="27"/>
      <c r="G88" s="6"/>
      <c r="H88" s="18"/>
      <c r="I88" s="18"/>
      <c r="J88" s="18"/>
      <c r="K88" s="49"/>
      <c r="L88" s="17"/>
      <c r="M88" s="19"/>
      <c r="N88" s="19"/>
    </row>
    <row r="89" spans="1:14" x14ac:dyDescent="0.2">
      <c r="A89" s="30"/>
      <c r="B89" s="6"/>
      <c r="C89" s="17"/>
      <c r="D89" s="28"/>
      <c r="E89" s="28"/>
      <c r="F89" s="27"/>
      <c r="G89" s="6"/>
      <c r="H89" s="18"/>
      <c r="I89" s="18"/>
      <c r="J89" s="18"/>
      <c r="K89" s="49"/>
      <c r="L89" s="17"/>
      <c r="M89" s="19"/>
      <c r="N89" s="19"/>
    </row>
    <row r="90" spans="1:14" x14ac:dyDescent="0.2">
      <c r="A90" s="30"/>
      <c r="B90" s="6"/>
      <c r="C90" s="17"/>
      <c r="D90" s="28"/>
      <c r="E90" s="28"/>
      <c r="F90" s="27"/>
      <c r="G90" s="6"/>
      <c r="H90" s="18"/>
      <c r="I90" s="18"/>
      <c r="J90" s="18"/>
      <c r="K90" s="49"/>
      <c r="L90" s="17"/>
      <c r="M90" s="19"/>
      <c r="N90" s="19"/>
    </row>
    <row r="91" spans="1:14" x14ac:dyDescent="0.2">
      <c r="A91" s="30"/>
      <c r="B91" s="6"/>
      <c r="C91" s="17"/>
      <c r="D91" s="28"/>
      <c r="E91" s="28"/>
      <c r="F91" s="27"/>
      <c r="G91" s="6"/>
      <c r="H91" s="18"/>
      <c r="I91" s="18"/>
      <c r="J91" s="18"/>
      <c r="K91" s="49"/>
      <c r="L91" s="17"/>
      <c r="M91" s="19"/>
      <c r="N91" s="19"/>
    </row>
    <row r="92" spans="1:14" x14ac:dyDescent="0.2">
      <c r="A92" s="30"/>
      <c r="B92" s="6"/>
      <c r="C92" s="17"/>
      <c r="D92" s="28"/>
      <c r="E92" s="28"/>
      <c r="F92" s="27"/>
      <c r="G92" s="6"/>
      <c r="H92" s="18"/>
      <c r="I92" s="18"/>
      <c r="J92" s="18"/>
      <c r="K92" s="49"/>
      <c r="L92" s="17"/>
      <c r="M92" s="19"/>
      <c r="N92" s="19"/>
    </row>
    <row r="93" spans="1:14" x14ac:dyDescent="0.2">
      <c r="A93" s="30"/>
      <c r="B93" s="6"/>
      <c r="C93" s="17"/>
      <c r="D93" s="28"/>
      <c r="E93" s="28"/>
      <c r="F93" s="27"/>
      <c r="G93" s="6"/>
      <c r="H93" s="18"/>
      <c r="I93" s="18"/>
      <c r="J93" s="18"/>
      <c r="K93" s="49"/>
      <c r="L93" s="17"/>
      <c r="M93" s="19"/>
      <c r="N93" s="19"/>
    </row>
    <row r="94" spans="1:14" x14ac:dyDescent="0.2">
      <c r="A94" s="30"/>
      <c r="B94" s="6"/>
      <c r="C94" s="17"/>
      <c r="D94" s="28"/>
      <c r="E94" s="28"/>
      <c r="F94" s="27"/>
      <c r="G94" s="6"/>
      <c r="H94" s="18"/>
      <c r="I94" s="18"/>
      <c r="J94" s="18"/>
      <c r="K94" s="49"/>
      <c r="L94" s="17"/>
      <c r="M94" s="19"/>
      <c r="N94" s="19"/>
    </row>
    <row r="95" spans="1:14" x14ac:dyDescent="0.2">
      <c r="A95" s="30"/>
      <c r="B95" s="6"/>
      <c r="C95" s="17"/>
      <c r="D95" s="28"/>
      <c r="E95" s="28"/>
      <c r="F95" s="27"/>
      <c r="G95" s="6"/>
      <c r="H95" s="18"/>
      <c r="I95" s="18"/>
      <c r="J95" s="18"/>
      <c r="K95" s="49"/>
      <c r="L95" s="17"/>
      <c r="M95" s="19"/>
      <c r="N95" s="19"/>
    </row>
    <row r="96" spans="1:14" x14ac:dyDescent="0.2">
      <c r="A96" s="30"/>
      <c r="B96" s="6"/>
      <c r="C96" s="17"/>
      <c r="D96" s="28"/>
      <c r="E96" s="28"/>
      <c r="F96" s="27"/>
      <c r="G96" s="6"/>
      <c r="H96" s="18"/>
      <c r="I96" s="18"/>
      <c r="J96" s="18"/>
      <c r="K96" s="49"/>
      <c r="L96" s="17"/>
      <c r="M96" s="19"/>
      <c r="N96" s="19"/>
    </row>
    <row r="97" spans="1:14" x14ac:dyDescent="0.2">
      <c r="A97" s="30"/>
      <c r="B97" s="6"/>
      <c r="C97" s="17"/>
      <c r="D97" s="28"/>
      <c r="E97" s="28"/>
      <c r="F97" s="27"/>
      <c r="G97" s="6"/>
      <c r="H97" s="18"/>
      <c r="I97" s="18"/>
      <c r="J97" s="18"/>
      <c r="K97" s="49"/>
      <c r="L97" s="17"/>
      <c r="M97" s="19"/>
      <c r="N97" s="19"/>
    </row>
    <row r="98" spans="1:14" x14ac:dyDescent="0.2">
      <c r="A98" s="30"/>
      <c r="B98" s="6"/>
      <c r="C98" s="17"/>
      <c r="D98" s="28"/>
      <c r="E98" s="28"/>
      <c r="F98" s="27"/>
      <c r="G98" s="6"/>
      <c r="H98" s="18"/>
      <c r="I98" s="18"/>
      <c r="J98" s="18"/>
      <c r="K98" s="49"/>
      <c r="L98" s="17"/>
      <c r="M98" s="19"/>
      <c r="N98" s="19"/>
    </row>
    <row r="99" spans="1:14" x14ac:dyDescent="0.2">
      <c r="A99" s="30"/>
      <c r="B99" s="6"/>
      <c r="C99" s="17"/>
      <c r="D99" s="28"/>
      <c r="E99" s="28"/>
      <c r="F99" s="27"/>
      <c r="G99" s="6"/>
      <c r="H99" s="18"/>
      <c r="I99" s="18"/>
      <c r="J99" s="18"/>
      <c r="K99" s="49"/>
      <c r="L99" s="17"/>
      <c r="M99" s="19"/>
      <c r="N99" s="19"/>
    </row>
    <row r="100" spans="1:14" x14ac:dyDescent="0.2">
      <c r="A100" s="30"/>
      <c r="B100" s="6"/>
      <c r="C100" s="17"/>
      <c r="D100" s="28"/>
      <c r="E100" s="28"/>
      <c r="F100" s="27"/>
      <c r="G100" s="6"/>
      <c r="H100" s="18"/>
      <c r="I100" s="18"/>
      <c r="J100" s="18"/>
      <c r="K100" s="49"/>
      <c r="L100" s="17"/>
      <c r="M100" s="19"/>
      <c r="N100" s="19"/>
    </row>
    <row r="101" spans="1:14" x14ac:dyDescent="0.2">
      <c r="A101" s="30"/>
      <c r="B101" s="6"/>
      <c r="C101" s="17"/>
      <c r="D101" s="28"/>
      <c r="E101" s="28"/>
      <c r="F101" s="27"/>
      <c r="G101" s="6"/>
      <c r="H101" s="18"/>
      <c r="I101" s="18"/>
      <c r="J101" s="18"/>
      <c r="K101" s="49"/>
      <c r="L101" s="17"/>
      <c r="M101" s="19"/>
      <c r="N101" s="19"/>
    </row>
    <row r="102" spans="1:14" x14ac:dyDescent="0.2">
      <c r="A102" s="30"/>
      <c r="B102" s="6"/>
      <c r="C102" s="17"/>
      <c r="D102" s="28"/>
      <c r="E102" s="28"/>
      <c r="F102" s="27"/>
      <c r="G102" s="6"/>
      <c r="H102" s="18"/>
      <c r="I102" s="18"/>
      <c r="J102" s="18"/>
      <c r="K102" s="49"/>
      <c r="L102" s="17"/>
      <c r="M102" s="19"/>
      <c r="N102" s="19"/>
    </row>
    <row r="103" spans="1:14" x14ac:dyDescent="0.2">
      <c r="A103" s="30"/>
      <c r="B103" s="6"/>
      <c r="C103" s="17"/>
      <c r="D103" s="28"/>
      <c r="E103" s="28"/>
      <c r="F103" s="27"/>
      <c r="G103" s="6"/>
      <c r="H103" s="18"/>
      <c r="I103" s="18"/>
      <c r="J103" s="18"/>
      <c r="K103" s="49"/>
      <c r="L103" s="17"/>
      <c r="M103" s="19"/>
      <c r="N103" s="19"/>
    </row>
    <row r="104" spans="1:14" x14ac:dyDescent="0.2">
      <c r="A104" s="30"/>
      <c r="B104" s="6"/>
      <c r="C104" s="17"/>
      <c r="D104" s="28"/>
      <c r="E104" s="28"/>
      <c r="F104" s="27"/>
      <c r="G104" s="6"/>
      <c r="H104" s="18"/>
      <c r="I104" s="18"/>
      <c r="J104" s="18"/>
      <c r="K104" s="49"/>
      <c r="L104" s="17"/>
      <c r="M104" s="19"/>
      <c r="N104" s="19"/>
    </row>
    <row r="105" spans="1:14" x14ac:dyDescent="0.2">
      <c r="A105" s="30"/>
      <c r="B105" s="6"/>
      <c r="C105" s="17"/>
      <c r="D105" s="28"/>
      <c r="E105" s="28"/>
      <c r="F105" s="27"/>
      <c r="G105" s="6"/>
      <c r="H105" s="18"/>
      <c r="I105" s="18"/>
      <c r="J105" s="18"/>
      <c r="K105" s="49"/>
      <c r="L105" s="17"/>
      <c r="M105" s="19"/>
      <c r="N105" s="19"/>
    </row>
    <row r="106" spans="1:14" x14ac:dyDescent="0.2">
      <c r="A106" s="30"/>
      <c r="B106" s="6"/>
      <c r="C106" s="17"/>
      <c r="D106" s="28"/>
      <c r="E106" s="28"/>
      <c r="F106" s="27"/>
      <c r="G106" s="6"/>
      <c r="H106" s="18"/>
      <c r="I106" s="18"/>
      <c r="J106" s="18"/>
      <c r="K106" s="49"/>
      <c r="L106" s="17"/>
      <c r="M106" s="19"/>
      <c r="N106" s="19"/>
    </row>
    <row r="107" spans="1:14" x14ac:dyDescent="0.2">
      <c r="A107" s="30"/>
      <c r="B107" s="6"/>
      <c r="C107" s="17"/>
      <c r="D107" s="28"/>
      <c r="E107" s="28"/>
      <c r="F107" s="27"/>
      <c r="G107" s="6"/>
      <c r="H107" s="18"/>
      <c r="I107" s="18"/>
      <c r="J107" s="18"/>
      <c r="K107" s="49"/>
      <c r="L107" s="17"/>
      <c r="M107" s="19"/>
      <c r="N107" s="19"/>
    </row>
    <row r="108" spans="1:14" x14ac:dyDescent="0.2">
      <c r="A108" s="30"/>
      <c r="B108" s="6"/>
      <c r="C108" s="17"/>
      <c r="D108" s="28"/>
      <c r="E108" s="28"/>
      <c r="F108" s="27"/>
      <c r="G108" s="6"/>
      <c r="H108" s="18"/>
      <c r="I108" s="18"/>
      <c r="J108" s="18"/>
      <c r="K108" s="49"/>
      <c r="L108" s="17"/>
      <c r="M108" s="19"/>
      <c r="N108" s="19"/>
    </row>
    <row r="109" spans="1:14" x14ac:dyDescent="0.2">
      <c r="A109" s="30"/>
      <c r="B109" s="6"/>
      <c r="C109" s="17"/>
      <c r="D109" s="28"/>
      <c r="E109" s="28"/>
      <c r="F109" s="27"/>
      <c r="G109" s="6"/>
      <c r="H109" s="18"/>
      <c r="I109" s="18"/>
      <c r="J109" s="18"/>
      <c r="K109" s="49"/>
      <c r="L109" s="17"/>
      <c r="M109" s="19"/>
      <c r="N109" s="19"/>
    </row>
    <row r="110" spans="1:14" x14ac:dyDescent="0.2">
      <c r="A110" s="30"/>
      <c r="B110" s="6"/>
      <c r="C110" s="17"/>
      <c r="D110" s="28"/>
      <c r="E110" s="28"/>
      <c r="F110" s="27"/>
      <c r="G110" s="6"/>
      <c r="H110" s="18"/>
      <c r="I110" s="18"/>
      <c r="J110" s="18"/>
      <c r="K110" s="49"/>
      <c r="L110" s="17"/>
      <c r="M110" s="19"/>
      <c r="N110" s="19"/>
    </row>
    <row r="111" spans="1:14" x14ac:dyDescent="0.2">
      <c r="A111" s="30"/>
      <c r="B111" s="6"/>
      <c r="C111" s="17"/>
      <c r="D111" s="28"/>
      <c r="E111" s="28"/>
      <c r="F111" s="27"/>
      <c r="G111" s="6"/>
      <c r="H111" s="18"/>
      <c r="I111" s="18"/>
      <c r="J111" s="18"/>
      <c r="K111" s="49"/>
      <c r="L111" s="17"/>
      <c r="M111" s="19"/>
      <c r="N111" s="19"/>
    </row>
    <row r="112" spans="1:14" x14ac:dyDescent="0.2">
      <c r="A112" s="30"/>
      <c r="B112" s="6"/>
      <c r="C112" s="17"/>
      <c r="D112" s="28"/>
      <c r="E112" s="28"/>
      <c r="F112" s="27"/>
      <c r="G112" s="6"/>
      <c r="H112" s="18"/>
      <c r="I112" s="18"/>
      <c r="J112" s="18"/>
      <c r="K112" s="49"/>
      <c r="L112" s="17"/>
      <c r="M112" s="19"/>
      <c r="N112" s="19"/>
    </row>
    <row r="113" spans="1:14" x14ac:dyDescent="0.2">
      <c r="A113" s="30"/>
      <c r="B113" s="6"/>
      <c r="C113" s="17"/>
      <c r="D113" s="28"/>
      <c r="E113" s="28"/>
      <c r="F113" s="27"/>
      <c r="G113" s="6"/>
      <c r="H113" s="18"/>
      <c r="I113" s="18"/>
      <c r="J113" s="18"/>
      <c r="K113" s="49"/>
      <c r="L113" s="17"/>
      <c r="M113" s="19"/>
      <c r="N113" s="19"/>
    </row>
    <row r="114" spans="1:14" x14ac:dyDescent="0.2">
      <c r="A114" s="30"/>
      <c r="B114" s="6"/>
      <c r="C114" s="17"/>
      <c r="D114" s="28"/>
      <c r="E114" s="28"/>
      <c r="F114" s="27"/>
      <c r="G114" s="6"/>
      <c r="H114" s="18"/>
      <c r="I114" s="18"/>
      <c r="J114" s="18"/>
      <c r="K114" s="49"/>
      <c r="L114" s="17"/>
      <c r="M114" s="19"/>
      <c r="N114" s="19"/>
    </row>
    <row r="115" spans="1:14" x14ac:dyDescent="0.2">
      <c r="A115" s="30"/>
      <c r="B115" s="6"/>
      <c r="C115" s="17"/>
      <c r="D115" s="28"/>
      <c r="E115" s="28"/>
      <c r="F115" s="27"/>
      <c r="G115" s="6"/>
      <c r="H115" s="18"/>
      <c r="I115" s="18"/>
      <c r="J115" s="18"/>
      <c r="K115" s="49"/>
      <c r="L115" s="17"/>
      <c r="M115" s="19"/>
      <c r="N115" s="19"/>
    </row>
    <row r="116" spans="1:14" x14ac:dyDescent="0.2">
      <c r="A116" s="30"/>
      <c r="B116" s="6"/>
      <c r="C116" s="17"/>
      <c r="D116" s="28"/>
      <c r="E116" s="28"/>
      <c r="F116" s="27"/>
      <c r="G116" s="6"/>
      <c r="H116" s="18"/>
      <c r="I116" s="18"/>
      <c r="J116" s="18"/>
      <c r="K116" s="49"/>
      <c r="L116" s="17"/>
      <c r="M116" s="19"/>
      <c r="N116" s="19"/>
    </row>
    <row r="117" spans="1:14" x14ac:dyDescent="0.2">
      <c r="A117" s="30"/>
      <c r="B117" s="6"/>
      <c r="C117" s="17"/>
      <c r="D117" s="28"/>
      <c r="E117" s="28"/>
      <c r="F117" s="27"/>
      <c r="G117" s="6"/>
      <c r="H117" s="18"/>
      <c r="I117" s="18"/>
      <c r="J117" s="18"/>
      <c r="K117" s="49"/>
      <c r="L117" s="17"/>
      <c r="M117" s="19"/>
      <c r="N117" s="19"/>
    </row>
    <row r="118" spans="1:14" x14ac:dyDescent="0.2">
      <c r="A118" s="30"/>
      <c r="B118" s="6"/>
      <c r="C118" s="17"/>
      <c r="D118" s="28"/>
      <c r="E118" s="28"/>
      <c r="F118" s="27"/>
      <c r="G118" s="6"/>
      <c r="H118" s="18"/>
      <c r="I118" s="18"/>
      <c r="J118" s="18"/>
      <c r="K118" s="49"/>
      <c r="L118" s="17"/>
      <c r="M118" s="19"/>
      <c r="N118" s="19"/>
    </row>
    <row r="119" spans="1:14" x14ac:dyDescent="0.2">
      <c r="A119" s="30"/>
      <c r="B119" s="6"/>
      <c r="C119" s="17"/>
      <c r="D119" s="28"/>
      <c r="E119" s="28"/>
      <c r="F119" s="27"/>
      <c r="G119" s="6"/>
      <c r="H119" s="18"/>
      <c r="I119" s="18"/>
      <c r="J119" s="18"/>
      <c r="K119" s="49"/>
      <c r="L119" s="17"/>
      <c r="M119" s="19"/>
      <c r="N119" s="19"/>
    </row>
    <row r="120" spans="1:14" x14ac:dyDescent="0.2">
      <c r="A120" s="30"/>
      <c r="B120" s="6"/>
      <c r="C120" s="17"/>
      <c r="D120" s="28"/>
      <c r="E120" s="28"/>
      <c r="F120" s="27"/>
      <c r="G120" s="6"/>
      <c r="H120" s="18"/>
      <c r="I120" s="18"/>
      <c r="J120" s="18"/>
      <c r="K120" s="49"/>
      <c r="L120" s="17"/>
      <c r="M120" s="19"/>
      <c r="N120" s="19"/>
    </row>
    <row r="121" spans="1:14" x14ac:dyDescent="0.2">
      <c r="A121" s="30"/>
      <c r="B121" s="6"/>
      <c r="C121" s="17"/>
      <c r="D121" s="28"/>
      <c r="E121" s="28"/>
      <c r="F121" s="27"/>
      <c r="G121" s="6"/>
      <c r="H121" s="18"/>
      <c r="I121" s="18"/>
      <c r="J121" s="18"/>
      <c r="K121" s="49"/>
      <c r="L121" s="17"/>
      <c r="M121" s="19"/>
      <c r="N121" s="19"/>
    </row>
    <row r="122" spans="1:14" x14ac:dyDescent="0.2">
      <c r="A122" s="30"/>
      <c r="B122" s="6"/>
      <c r="C122" s="17"/>
      <c r="D122" s="28"/>
      <c r="E122" s="28"/>
      <c r="F122" s="27"/>
      <c r="G122" s="6"/>
      <c r="H122" s="18"/>
      <c r="I122" s="18"/>
      <c r="J122" s="18"/>
      <c r="K122" s="49"/>
      <c r="L122" s="17"/>
      <c r="M122" s="19"/>
      <c r="N122" s="19"/>
    </row>
    <row r="123" spans="1:14" x14ac:dyDescent="0.2">
      <c r="A123" s="30"/>
      <c r="B123" s="6"/>
      <c r="C123" s="17"/>
      <c r="D123" s="28"/>
      <c r="E123" s="28"/>
      <c r="F123" s="27"/>
      <c r="G123" s="6"/>
      <c r="H123" s="18"/>
      <c r="I123" s="18"/>
      <c r="J123" s="18"/>
      <c r="K123" s="49"/>
      <c r="L123" s="17"/>
      <c r="M123" s="19"/>
      <c r="N123" s="19"/>
    </row>
    <row r="124" spans="1:14" x14ac:dyDescent="0.2">
      <c r="A124" s="30"/>
      <c r="B124" s="6"/>
      <c r="C124" s="17"/>
      <c r="D124" s="28"/>
      <c r="E124" s="28"/>
      <c r="F124" s="27"/>
      <c r="G124" s="6"/>
      <c r="H124" s="18"/>
      <c r="I124" s="18"/>
      <c r="J124" s="18"/>
      <c r="K124" s="49"/>
      <c r="L124" s="17"/>
      <c r="M124" s="19"/>
      <c r="N124" s="19"/>
    </row>
    <row r="125" spans="1:14" x14ac:dyDescent="0.2">
      <c r="A125" s="30"/>
      <c r="B125" s="6"/>
      <c r="C125" s="17"/>
      <c r="D125" s="28"/>
      <c r="E125" s="28"/>
      <c r="F125" s="27"/>
      <c r="G125" s="6"/>
      <c r="H125" s="18"/>
      <c r="I125" s="18"/>
      <c r="J125" s="18"/>
      <c r="K125" s="49"/>
      <c r="L125" s="17"/>
      <c r="M125" s="19"/>
      <c r="N125" s="19"/>
    </row>
    <row r="126" spans="1:14" x14ac:dyDescent="0.2">
      <c r="A126" s="30"/>
      <c r="B126" s="6"/>
      <c r="C126" s="17"/>
      <c r="D126" s="28"/>
      <c r="E126" s="28"/>
      <c r="F126" s="27"/>
      <c r="G126" s="6"/>
      <c r="H126" s="18"/>
      <c r="I126" s="18"/>
      <c r="J126" s="18"/>
      <c r="K126" s="49"/>
      <c r="L126" s="17"/>
      <c r="M126" s="19"/>
      <c r="N126" s="19"/>
    </row>
    <row r="127" spans="1:14" x14ac:dyDescent="0.2">
      <c r="A127" s="30"/>
      <c r="B127" s="6"/>
      <c r="C127" s="17"/>
      <c r="D127" s="28"/>
      <c r="E127" s="28"/>
      <c r="F127" s="27"/>
      <c r="G127" s="6"/>
      <c r="H127" s="18"/>
      <c r="I127" s="18"/>
      <c r="J127" s="18"/>
      <c r="K127" s="49"/>
      <c r="L127" s="17"/>
      <c r="M127" s="19"/>
      <c r="N127" s="19"/>
    </row>
    <row r="128" spans="1:14" x14ac:dyDescent="0.2">
      <c r="A128" s="30"/>
      <c r="B128" s="6"/>
      <c r="C128" s="17"/>
      <c r="D128" s="28"/>
      <c r="E128" s="28"/>
      <c r="F128" s="27"/>
      <c r="G128" s="6"/>
      <c r="H128" s="18"/>
      <c r="I128" s="18"/>
      <c r="J128" s="18"/>
      <c r="K128" s="49"/>
      <c r="L128" s="17"/>
      <c r="M128" s="19"/>
      <c r="N128" s="19"/>
    </row>
    <row r="129" spans="1:14" x14ac:dyDescent="0.2">
      <c r="A129" s="30"/>
      <c r="B129" s="6"/>
      <c r="C129" s="17"/>
      <c r="D129" s="28"/>
      <c r="E129" s="28"/>
      <c r="F129" s="27"/>
      <c r="G129" s="6"/>
      <c r="H129" s="18"/>
      <c r="I129" s="18"/>
      <c r="J129" s="18"/>
      <c r="K129" s="49"/>
      <c r="L129" s="17"/>
      <c r="M129" s="19"/>
      <c r="N129" s="19"/>
    </row>
    <row r="130" spans="1:14" x14ac:dyDescent="0.2">
      <c r="A130" s="30"/>
      <c r="B130" s="6"/>
      <c r="C130" s="17"/>
      <c r="D130" s="28"/>
      <c r="E130" s="28"/>
      <c r="F130" s="27"/>
      <c r="G130" s="6"/>
      <c r="H130" s="18"/>
      <c r="I130" s="18"/>
      <c r="J130" s="18"/>
      <c r="K130" s="49"/>
      <c r="L130" s="17"/>
      <c r="M130" s="19"/>
      <c r="N130" s="19"/>
    </row>
    <row r="131" spans="1:14" x14ac:dyDescent="0.2">
      <c r="A131" s="30"/>
      <c r="B131" s="6"/>
      <c r="C131" s="17"/>
      <c r="D131" s="28"/>
      <c r="E131" s="28"/>
      <c r="F131" s="27"/>
      <c r="G131" s="6"/>
      <c r="H131" s="18"/>
      <c r="I131" s="18"/>
      <c r="J131" s="18"/>
      <c r="K131" s="49"/>
      <c r="L131" s="17"/>
      <c r="M131" s="19"/>
      <c r="N131" s="19"/>
    </row>
    <row r="132" spans="1:14" x14ac:dyDescent="0.2">
      <c r="A132" s="30"/>
      <c r="B132" s="6"/>
      <c r="C132" s="17"/>
      <c r="D132" s="28"/>
      <c r="E132" s="28"/>
      <c r="F132" s="27"/>
      <c r="G132" s="6"/>
      <c r="H132" s="18"/>
      <c r="I132" s="18"/>
      <c r="J132" s="18"/>
      <c r="K132" s="49"/>
      <c r="L132" s="17"/>
      <c r="M132" s="19"/>
      <c r="N132" s="19"/>
    </row>
    <row r="133" spans="1:14" x14ac:dyDescent="0.2">
      <c r="A133" s="30"/>
      <c r="B133" s="6"/>
      <c r="C133" s="17"/>
      <c r="D133" s="28"/>
      <c r="E133" s="28"/>
      <c r="F133" s="27"/>
      <c r="G133" s="6"/>
      <c r="H133" s="18"/>
      <c r="I133" s="18"/>
      <c r="J133" s="18"/>
      <c r="K133" s="49"/>
      <c r="L133" s="17"/>
      <c r="M133" s="19"/>
      <c r="N133" s="19"/>
    </row>
    <row r="134" spans="1:14" x14ac:dyDescent="0.2">
      <c r="A134" s="30"/>
      <c r="B134" s="6"/>
      <c r="C134" s="17"/>
      <c r="D134" s="28"/>
      <c r="E134" s="28"/>
      <c r="F134" s="27"/>
      <c r="G134" s="6"/>
      <c r="H134" s="18"/>
      <c r="I134" s="18"/>
      <c r="J134" s="18"/>
      <c r="K134" s="49"/>
      <c r="L134" s="17"/>
      <c r="M134" s="19"/>
      <c r="N134" s="19"/>
    </row>
    <row r="135" spans="1:14" x14ac:dyDescent="0.2">
      <c r="A135" s="30"/>
      <c r="B135" s="6"/>
      <c r="C135" s="17"/>
      <c r="D135" s="28"/>
      <c r="E135" s="28"/>
      <c r="F135" s="27"/>
      <c r="G135" s="6"/>
      <c r="H135" s="18"/>
      <c r="I135" s="18"/>
      <c r="J135" s="18"/>
      <c r="K135" s="49"/>
      <c r="L135" s="17"/>
      <c r="M135" s="19"/>
      <c r="N135" s="19"/>
    </row>
    <row r="136" spans="1:14" x14ac:dyDescent="0.2">
      <c r="A136" s="30"/>
      <c r="B136" s="6"/>
      <c r="C136" s="17"/>
      <c r="D136" s="28"/>
      <c r="E136" s="28"/>
      <c r="F136" s="27"/>
      <c r="G136" s="6"/>
      <c r="H136" s="18"/>
      <c r="I136" s="18"/>
      <c r="J136" s="18"/>
      <c r="K136" s="49"/>
      <c r="L136" s="17"/>
      <c r="M136" s="19"/>
      <c r="N136" s="19"/>
    </row>
    <row r="137" spans="1:14" x14ac:dyDescent="0.2">
      <c r="A137" s="30"/>
      <c r="B137" s="6"/>
      <c r="C137" s="17"/>
      <c r="D137" s="28"/>
      <c r="E137" s="28"/>
      <c r="F137" s="27"/>
      <c r="G137" s="6"/>
      <c r="H137" s="18"/>
      <c r="I137" s="18"/>
      <c r="J137" s="18"/>
      <c r="K137" s="49"/>
      <c r="L137" s="17"/>
      <c r="M137" s="19"/>
      <c r="N137" s="19"/>
    </row>
    <row r="138" spans="1:14" x14ac:dyDescent="0.2">
      <c r="A138" s="30"/>
      <c r="B138" s="6"/>
      <c r="C138" s="17"/>
      <c r="D138" s="28"/>
      <c r="E138" s="28"/>
      <c r="F138" s="27"/>
      <c r="G138" s="6"/>
      <c r="H138" s="18"/>
      <c r="I138" s="18"/>
      <c r="J138" s="18"/>
      <c r="K138" s="49"/>
      <c r="L138" s="17"/>
      <c r="M138" s="19"/>
      <c r="N138" s="19"/>
    </row>
    <row r="139" spans="1:14" x14ac:dyDescent="0.2">
      <c r="A139" s="30"/>
      <c r="B139" s="6"/>
      <c r="C139" s="17"/>
      <c r="D139" s="28"/>
      <c r="E139" s="28"/>
      <c r="F139" s="27"/>
      <c r="G139" s="6"/>
      <c r="H139" s="18"/>
      <c r="I139" s="18"/>
      <c r="J139" s="18"/>
      <c r="K139" s="49"/>
      <c r="L139" s="17"/>
      <c r="M139" s="19"/>
      <c r="N139" s="19"/>
    </row>
    <row r="140" spans="1:14" x14ac:dyDescent="0.2">
      <c r="A140" s="30"/>
      <c r="B140" s="6"/>
      <c r="C140" s="17"/>
      <c r="D140" s="28"/>
      <c r="E140" s="28"/>
      <c r="F140" s="27"/>
      <c r="G140" s="6"/>
      <c r="H140" s="18"/>
      <c r="I140" s="18"/>
      <c r="J140" s="18"/>
      <c r="K140" s="49"/>
      <c r="L140" s="17"/>
      <c r="M140" s="19"/>
      <c r="N140" s="19"/>
    </row>
    <row r="141" spans="1:14" x14ac:dyDescent="0.2">
      <c r="A141" s="30"/>
      <c r="B141" s="6"/>
      <c r="C141" s="17"/>
      <c r="D141" s="28"/>
      <c r="E141" s="28"/>
      <c r="F141" s="27"/>
      <c r="G141" s="6"/>
      <c r="H141" s="18"/>
      <c r="I141" s="18"/>
      <c r="J141" s="18"/>
      <c r="K141" s="49"/>
      <c r="L141" s="17"/>
      <c r="M141" s="19"/>
      <c r="N141" s="19"/>
    </row>
    <row r="142" spans="1:14" x14ac:dyDescent="0.2">
      <c r="A142" s="30"/>
      <c r="B142" s="6"/>
      <c r="C142" s="17"/>
      <c r="D142" s="28"/>
      <c r="E142" s="28"/>
      <c r="F142" s="27"/>
      <c r="G142" s="6"/>
      <c r="H142" s="18"/>
      <c r="I142" s="18"/>
      <c r="J142" s="18"/>
      <c r="K142" s="49"/>
      <c r="L142" s="17"/>
      <c r="M142" s="19"/>
      <c r="N142" s="19"/>
    </row>
  </sheetData>
  <mergeCells count="3">
    <mergeCell ref="F1:F2"/>
    <mergeCell ref="A28:L28"/>
    <mergeCell ref="A26:Q26"/>
  </mergeCells>
  <phoneticPr fontId="1"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F2AA80C4-5BE5-5E4A-9998-0F615F08B2E5}">
          <x14:formula1>
            <xm:f>Dropdowns!$I$2:$I$15</xm:f>
          </x14:formula1>
          <xm:sqref>G4:G6 G25 G29:G142 G8:G23</xm:sqref>
        </x14:dataValidation>
        <x14:dataValidation type="list" allowBlank="1" showInputMessage="1" showErrorMessage="1" xr:uid="{50CC6877-C633-AE49-AB9A-A451F2695188}">
          <x14:formula1>
            <xm:f>Dropdowns!$C$2:$C$7</xm:f>
          </x14:formula1>
          <xm:sqref>B25 B29:B142 B4:B23</xm:sqref>
        </x14:dataValidation>
        <x14:dataValidation type="list" allowBlank="1" showInputMessage="1" showErrorMessage="1" xr:uid="{5307B6FA-E0FB-614D-BD00-79850243206D}">
          <x14:formula1>
            <xm:f>Dropdowns!$K$2:$K$4</xm:f>
          </x14:formula1>
          <xm:sqref>K39:K142 K29:K37 K25</xm:sqref>
        </x14:dataValidation>
        <x14:dataValidation type="list" allowBlank="1" showInputMessage="1" showErrorMessage="1" xr:uid="{384C0C59-3DDC-E845-A0D1-A447CAAB064F}">
          <x14:formula1>
            <xm:f>Dropdowns!$K$2:$K$5</xm:f>
          </x14:formula1>
          <xm:sqref>K4:K23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D42A-B6DA-2140-BF1A-40EBC564CE0D}">
  <dimension ref="A1:Q134"/>
  <sheetViews>
    <sheetView showGridLines="0" zoomScale="120" zoomScaleNormal="120" workbookViewId="0">
      <pane xSplit="1" ySplit="3" topLeftCell="B4" activePane="bottomRight" state="frozen"/>
      <selection pane="topRight" activeCell="B1" sqref="B1"/>
      <selection pane="bottomLeft" activeCell="A4" sqref="A4"/>
      <selection pane="bottomRight" activeCell="A4" sqref="A4:M38"/>
    </sheetView>
  </sheetViews>
  <sheetFormatPr baseColWidth="10" defaultRowHeight="15" x14ac:dyDescent="0.2"/>
  <cols>
    <col min="1" max="1" width="11.1640625" customWidth="1"/>
    <col min="2" max="2" width="20.1640625" bestFit="1" customWidth="1"/>
    <col min="3" max="3" width="24.33203125" customWidth="1"/>
    <col min="4" max="4" width="12.83203125" bestFit="1" customWidth="1"/>
    <col min="5" max="5" width="14.33203125" bestFit="1" customWidth="1"/>
    <col min="6" max="6" width="11.1640625" bestFit="1" customWidth="1"/>
    <col min="7" max="9" width="30.6640625" customWidth="1"/>
    <col min="10" max="10" width="16" customWidth="1"/>
    <col min="11" max="11" width="51.83203125" customWidth="1"/>
    <col min="12" max="12" width="25.5" bestFit="1" customWidth="1"/>
    <col min="13" max="13" width="26.33203125" bestFit="1" customWidth="1"/>
  </cols>
  <sheetData>
    <row r="1" spans="1:13" x14ac:dyDescent="0.2">
      <c r="D1" s="234" t="s">
        <v>61</v>
      </c>
      <c r="E1" s="232">
        <v>17.61</v>
      </c>
    </row>
    <row r="2" spans="1:13" ht="16" thickBot="1" x14ac:dyDescent="0.25">
      <c r="D2" s="235"/>
      <c r="E2" s="233"/>
    </row>
    <row r="3" spans="1:13" ht="16" x14ac:dyDescent="0.2">
      <c r="A3" t="s">
        <v>104</v>
      </c>
      <c r="B3" s="105" t="s">
        <v>467</v>
      </c>
      <c r="C3" s="106" t="s">
        <v>469</v>
      </c>
      <c r="D3" s="44" t="s">
        <v>176</v>
      </c>
      <c r="E3" s="44" t="s">
        <v>38</v>
      </c>
      <c r="F3" s="44" t="s">
        <v>95</v>
      </c>
      <c r="G3" s="107" t="s">
        <v>350</v>
      </c>
      <c r="H3" s="126" t="s">
        <v>565</v>
      </c>
      <c r="I3" s="126" t="s">
        <v>566</v>
      </c>
      <c r="J3" s="108" t="s">
        <v>470</v>
      </c>
      <c r="K3" s="109" t="s">
        <v>472</v>
      </c>
      <c r="L3" s="45" t="s">
        <v>496</v>
      </c>
      <c r="M3" s="45" t="s">
        <v>497</v>
      </c>
    </row>
    <row r="4" spans="1:13" ht="64" x14ac:dyDescent="0.2">
      <c r="A4" s="65" t="s">
        <v>197</v>
      </c>
      <c r="B4" s="65" t="s">
        <v>73</v>
      </c>
      <c r="C4" s="63" t="s">
        <v>9</v>
      </c>
      <c r="D4" s="68">
        <v>4000000</v>
      </c>
      <c r="E4" s="67">
        <f>Table81012131415161718[[#This Row],[Total US$ ]]*$E$1</f>
        <v>70440000</v>
      </c>
      <c r="F4" s="65" t="s">
        <v>388</v>
      </c>
      <c r="G4" s="76"/>
      <c r="H4" s="76"/>
      <c r="I4" s="76"/>
      <c r="J4" s="114" t="s">
        <v>251</v>
      </c>
      <c r="K4" s="63" t="s">
        <v>436</v>
      </c>
      <c r="L4" s="85">
        <v>45108</v>
      </c>
      <c r="M4" s="85">
        <v>46752</v>
      </c>
    </row>
    <row r="5" spans="1:13" ht="48" x14ac:dyDescent="0.2">
      <c r="A5" s="65" t="s">
        <v>198</v>
      </c>
      <c r="B5" s="65" t="s">
        <v>73</v>
      </c>
      <c r="C5" s="63" t="s">
        <v>433</v>
      </c>
      <c r="D5" s="68">
        <v>5000000</v>
      </c>
      <c r="E5" s="67">
        <f>Table81012131415161718[[#This Row],[Total US$ ]]*$E$1</f>
        <v>88050000</v>
      </c>
      <c r="F5" s="65" t="s">
        <v>388</v>
      </c>
      <c r="G5" s="76"/>
      <c r="H5" s="76"/>
      <c r="I5" s="76"/>
      <c r="J5" s="114" t="s">
        <v>251</v>
      </c>
      <c r="K5" s="63" t="s">
        <v>563</v>
      </c>
      <c r="L5" s="85">
        <v>45627</v>
      </c>
      <c r="M5" s="85">
        <v>47483</v>
      </c>
    </row>
    <row r="6" spans="1:13" ht="64" x14ac:dyDescent="0.2">
      <c r="A6" s="65" t="s">
        <v>199</v>
      </c>
      <c r="B6" s="65" t="s">
        <v>73</v>
      </c>
      <c r="C6" s="63" t="s">
        <v>273</v>
      </c>
      <c r="D6" s="68">
        <v>5000000</v>
      </c>
      <c r="E6" s="67">
        <f>Table81012131415161718[[#This Row],[Total US$ ]]*$E$1</f>
        <v>88050000</v>
      </c>
      <c r="F6" s="65" t="s">
        <v>388</v>
      </c>
      <c r="G6" s="76"/>
      <c r="H6" s="76"/>
      <c r="I6" s="76"/>
      <c r="J6" s="114" t="s">
        <v>251</v>
      </c>
      <c r="K6" s="63" t="s">
        <v>437</v>
      </c>
      <c r="L6" s="85">
        <v>45017</v>
      </c>
      <c r="M6" s="85">
        <v>45656</v>
      </c>
    </row>
    <row r="7" spans="1:13" ht="64" x14ac:dyDescent="0.2">
      <c r="A7" s="65" t="s">
        <v>200</v>
      </c>
      <c r="B7" s="65" t="s">
        <v>73</v>
      </c>
      <c r="C7" s="63" t="s">
        <v>274</v>
      </c>
      <c r="D7" s="68">
        <v>15000000</v>
      </c>
      <c r="E7" s="67">
        <f>Table81012131415161718[[#This Row],[Total US$ ]]*$E$1</f>
        <v>264150000</v>
      </c>
      <c r="F7" s="65" t="s">
        <v>388</v>
      </c>
      <c r="G7" s="76"/>
      <c r="H7" s="76"/>
      <c r="I7" s="76"/>
      <c r="J7" s="114" t="s">
        <v>494</v>
      </c>
      <c r="K7" s="63" t="s">
        <v>438</v>
      </c>
      <c r="L7" s="85">
        <v>45017</v>
      </c>
      <c r="M7" s="85">
        <v>45657</v>
      </c>
    </row>
    <row r="8" spans="1:13" ht="192" x14ac:dyDescent="0.2">
      <c r="A8" s="65" t="s">
        <v>201</v>
      </c>
      <c r="B8" s="65" t="s">
        <v>73</v>
      </c>
      <c r="C8" s="63" t="s">
        <v>275</v>
      </c>
      <c r="D8" s="68">
        <v>550000</v>
      </c>
      <c r="E8" s="67">
        <f>Table81012131415161718[[#This Row],[Total US$ ]]*$E$1</f>
        <v>9685500</v>
      </c>
      <c r="F8" s="65" t="s">
        <v>388</v>
      </c>
      <c r="G8" s="76"/>
      <c r="H8" s="76"/>
      <c r="I8" s="76"/>
      <c r="J8" s="84" t="s">
        <v>495</v>
      </c>
      <c r="K8" s="63" t="s">
        <v>439</v>
      </c>
      <c r="L8" s="85">
        <v>44835</v>
      </c>
      <c r="M8" s="85">
        <v>45382</v>
      </c>
    </row>
    <row r="9" spans="1:13" ht="64" x14ac:dyDescent="0.2">
      <c r="A9" s="65" t="s">
        <v>202</v>
      </c>
      <c r="B9" s="65" t="s">
        <v>468</v>
      </c>
      <c r="C9" s="63" t="s">
        <v>276</v>
      </c>
      <c r="D9" s="68">
        <v>300000</v>
      </c>
      <c r="E9" s="67">
        <f>Table81012131415161718[[#This Row],[Total US$ ]]*$E$1</f>
        <v>5283000</v>
      </c>
      <c r="F9" s="65" t="s">
        <v>388</v>
      </c>
      <c r="G9" s="76"/>
      <c r="H9" s="76"/>
      <c r="I9" s="76"/>
      <c r="J9" s="84" t="s">
        <v>495</v>
      </c>
      <c r="K9" s="63" t="s">
        <v>441</v>
      </c>
      <c r="L9" s="85">
        <v>44986</v>
      </c>
      <c r="M9" s="85">
        <v>45382</v>
      </c>
    </row>
    <row r="10" spans="1:13" ht="96" x14ac:dyDescent="0.2">
      <c r="A10" s="65" t="s">
        <v>203</v>
      </c>
      <c r="B10" s="65" t="s">
        <v>468</v>
      </c>
      <c r="C10" s="63" t="s">
        <v>3</v>
      </c>
      <c r="D10" s="68">
        <v>300000</v>
      </c>
      <c r="E10" s="67">
        <f>Table81012131415161718[[#This Row],[Total US$ ]]*$E$1</f>
        <v>5283000</v>
      </c>
      <c r="F10" s="65" t="s">
        <v>388</v>
      </c>
      <c r="G10" s="76"/>
      <c r="H10" s="76"/>
      <c r="I10" s="76"/>
      <c r="J10" s="84" t="s">
        <v>495</v>
      </c>
      <c r="K10" s="63" t="s">
        <v>442</v>
      </c>
      <c r="L10" s="85">
        <v>44986</v>
      </c>
      <c r="M10" s="85">
        <v>45382</v>
      </c>
    </row>
    <row r="11" spans="1:13" ht="64" x14ac:dyDescent="0.2">
      <c r="A11" s="65" t="s">
        <v>204</v>
      </c>
      <c r="B11" s="65" t="s">
        <v>468</v>
      </c>
      <c r="C11" s="63" t="s">
        <v>277</v>
      </c>
      <c r="D11" s="68">
        <v>300000</v>
      </c>
      <c r="E11" s="67">
        <f>Table81012131415161718[[#This Row],[Total US$ ]]*$E$1</f>
        <v>5283000</v>
      </c>
      <c r="F11" s="65" t="s">
        <v>388</v>
      </c>
      <c r="G11" s="76"/>
      <c r="H11" s="76"/>
      <c r="I11" s="76"/>
      <c r="J11" s="84" t="s">
        <v>495</v>
      </c>
      <c r="K11" s="63" t="s">
        <v>443</v>
      </c>
      <c r="L11" s="85">
        <v>44837</v>
      </c>
      <c r="M11" s="85">
        <v>45016</v>
      </c>
    </row>
    <row r="12" spans="1:13" s="51" customFormat="1" ht="112" x14ac:dyDescent="0.2">
      <c r="A12" s="65" t="s">
        <v>205</v>
      </c>
      <c r="B12" s="65" t="s">
        <v>56</v>
      </c>
      <c r="C12" s="63" t="s">
        <v>278</v>
      </c>
      <c r="D12" s="68">
        <v>300000</v>
      </c>
      <c r="E12" s="67">
        <f>Table81012131415161718[[#This Row],[Total US$ ]]*$E$1</f>
        <v>5283000</v>
      </c>
      <c r="F12" s="65" t="s">
        <v>388</v>
      </c>
      <c r="G12" s="76"/>
      <c r="H12" s="76"/>
      <c r="I12" s="76"/>
      <c r="J12" s="84" t="s">
        <v>495</v>
      </c>
      <c r="K12" s="63" t="s">
        <v>444</v>
      </c>
      <c r="L12" s="85">
        <v>44837</v>
      </c>
      <c r="M12" s="85">
        <v>45107</v>
      </c>
    </row>
    <row r="13" spans="1:13" s="51" customFormat="1" ht="64" x14ac:dyDescent="0.2">
      <c r="A13" s="65" t="s">
        <v>206</v>
      </c>
      <c r="B13" s="65" t="s">
        <v>56</v>
      </c>
      <c r="C13" s="63" t="s">
        <v>279</v>
      </c>
      <c r="D13" s="68">
        <v>300000</v>
      </c>
      <c r="E13" s="67">
        <f>Table81012131415161718[[#This Row],[Total US$ ]]*$E$1</f>
        <v>5283000</v>
      </c>
      <c r="F13" s="65" t="s">
        <v>388</v>
      </c>
      <c r="G13" s="76"/>
      <c r="H13" s="76"/>
      <c r="I13" s="76"/>
      <c r="J13" s="84" t="s">
        <v>495</v>
      </c>
      <c r="K13" s="63" t="s">
        <v>445</v>
      </c>
      <c r="L13" s="85">
        <v>44958</v>
      </c>
      <c r="M13" s="85">
        <v>45381</v>
      </c>
    </row>
    <row r="14" spans="1:13" ht="96" x14ac:dyDescent="0.2">
      <c r="A14" s="65" t="s">
        <v>207</v>
      </c>
      <c r="B14" s="65" t="s">
        <v>468</v>
      </c>
      <c r="C14" s="63" t="s">
        <v>3</v>
      </c>
      <c r="D14" s="68">
        <v>250000</v>
      </c>
      <c r="E14" s="67">
        <f>Table81012131415161718[[#This Row],[Total US$ ]]*$E$1</f>
        <v>4402500</v>
      </c>
      <c r="F14" s="65" t="s">
        <v>388</v>
      </c>
      <c r="G14" s="76" t="s">
        <v>283</v>
      </c>
      <c r="H14" s="76"/>
      <c r="I14" s="76"/>
      <c r="J14" s="84" t="s">
        <v>495</v>
      </c>
      <c r="K14" s="63" t="s">
        <v>446</v>
      </c>
      <c r="L14" s="85">
        <v>45108</v>
      </c>
      <c r="M14" s="85">
        <v>45504</v>
      </c>
    </row>
    <row r="15" spans="1:13" ht="240" x14ac:dyDescent="0.2">
      <c r="A15" s="65" t="s">
        <v>208</v>
      </c>
      <c r="B15" s="65" t="s">
        <v>468</v>
      </c>
      <c r="C15" s="63" t="s">
        <v>3</v>
      </c>
      <c r="D15" s="68">
        <v>1364834</v>
      </c>
      <c r="E15" s="67">
        <f>Table81012131415161718[[#This Row],[Total US$ ]]*$E$1</f>
        <v>24034726.739999998</v>
      </c>
      <c r="F15" s="65" t="s">
        <v>388</v>
      </c>
      <c r="G15" s="76" t="s">
        <v>50</v>
      </c>
      <c r="H15" s="76"/>
      <c r="I15" s="76"/>
      <c r="J15" s="84" t="s">
        <v>494</v>
      </c>
      <c r="K15" s="63" t="s">
        <v>447</v>
      </c>
      <c r="L15" s="85">
        <v>45203</v>
      </c>
      <c r="M15" s="85">
        <v>46579</v>
      </c>
    </row>
    <row r="16" spans="1:13" ht="192" x14ac:dyDescent="0.2">
      <c r="A16" s="65" t="s">
        <v>209</v>
      </c>
      <c r="B16" s="65" t="s">
        <v>468</v>
      </c>
      <c r="C16" s="63" t="s">
        <v>280</v>
      </c>
      <c r="D16" s="68">
        <v>8635166</v>
      </c>
      <c r="E16" s="67">
        <f>Table81012131415161718[[#This Row],[Total US$ ]]*$E$1</f>
        <v>152065273.25999999</v>
      </c>
      <c r="F16" s="65" t="s">
        <v>388</v>
      </c>
      <c r="G16" s="76"/>
      <c r="H16" s="76"/>
      <c r="I16" s="76"/>
      <c r="J16" s="84" t="s">
        <v>251</v>
      </c>
      <c r="K16" s="63" t="s">
        <v>448</v>
      </c>
      <c r="L16" s="85">
        <v>44501</v>
      </c>
      <c r="M16" s="85">
        <v>46692</v>
      </c>
    </row>
    <row r="17" spans="1:14" ht="208" x14ac:dyDescent="0.2">
      <c r="A17" s="65" t="s">
        <v>210</v>
      </c>
      <c r="B17" s="65" t="s">
        <v>468</v>
      </c>
      <c r="C17" s="63"/>
      <c r="D17" s="68">
        <v>974746</v>
      </c>
      <c r="E17" s="67">
        <f>Table81012131415161718[[#This Row],[Total US$ ]]*$E$1</f>
        <v>17165277.059999999</v>
      </c>
      <c r="F17" s="65" t="s">
        <v>388</v>
      </c>
      <c r="G17" s="76"/>
      <c r="H17" s="76"/>
      <c r="I17" s="76"/>
      <c r="J17" s="84" t="s">
        <v>494</v>
      </c>
      <c r="K17" s="63" t="s">
        <v>449</v>
      </c>
      <c r="L17" s="85">
        <v>44795</v>
      </c>
      <c r="M17" s="85">
        <v>46660</v>
      </c>
    </row>
    <row r="18" spans="1:14" s="34" customFormat="1" ht="32" x14ac:dyDescent="0.2">
      <c r="A18" s="65" t="s">
        <v>211</v>
      </c>
      <c r="B18" s="65" t="s">
        <v>73</v>
      </c>
      <c r="C18" s="63" t="s">
        <v>14</v>
      </c>
      <c r="D18" s="68">
        <v>4000000</v>
      </c>
      <c r="E18" s="67">
        <f>Table81012131415161718[[#This Row],[Total US$ ]]*$E$1</f>
        <v>70440000</v>
      </c>
      <c r="F18" s="65" t="s">
        <v>388</v>
      </c>
      <c r="G18" s="76" t="s">
        <v>369</v>
      </c>
      <c r="H18" s="76"/>
      <c r="I18" s="76"/>
      <c r="J18" s="84" t="s">
        <v>494</v>
      </c>
      <c r="K18" s="89" t="s">
        <v>440</v>
      </c>
      <c r="L18" s="85">
        <v>44562</v>
      </c>
      <c r="M18" s="85">
        <v>46752</v>
      </c>
    </row>
    <row r="19" spans="1:14" ht="32" x14ac:dyDescent="0.2">
      <c r="A19" s="65" t="s">
        <v>212</v>
      </c>
      <c r="B19" s="65" t="s">
        <v>56</v>
      </c>
      <c r="C19" s="63" t="s">
        <v>19</v>
      </c>
      <c r="D19" s="68">
        <v>100000</v>
      </c>
      <c r="E19" s="67">
        <f>Table81012131415161718[[#This Row],[Total US$ ]]*$E$1</f>
        <v>1761000</v>
      </c>
      <c r="F19" s="65" t="s">
        <v>388</v>
      </c>
      <c r="G19" s="76" t="s">
        <v>370</v>
      </c>
      <c r="H19" s="76"/>
      <c r="I19" s="76"/>
      <c r="J19" s="84" t="s">
        <v>495</v>
      </c>
      <c r="K19" s="89" t="s">
        <v>20</v>
      </c>
      <c r="L19" s="85">
        <v>44562</v>
      </c>
      <c r="M19" s="85">
        <v>44926</v>
      </c>
    </row>
    <row r="20" spans="1:14" ht="32" x14ac:dyDescent="0.2">
      <c r="A20" s="65" t="s">
        <v>213</v>
      </c>
      <c r="B20" s="65" t="s">
        <v>70</v>
      </c>
      <c r="C20" s="63" t="s">
        <v>79</v>
      </c>
      <c r="D20" s="68">
        <v>51420</v>
      </c>
      <c r="E20" s="67">
        <f>Table81012131415161718[[#This Row],[Total US$ ]]*$E$1</f>
        <v>905506.2</v>
      </c>
      <c r="F20" s="65" t="s">
        <v>388</v>
      </c>
      <c r="G20" s="76" t="s">
        <v>434</v>
      </c>
      <c r="H20" s="76"/>
      <c r="I20" s="76"/>
      <c r="J20" s="84" t="s">
        <v>495</v>
      </c>
      <c r="K20" s="89" t="s">
        <v>281</v>
      </c>
      <c r="L20" s="85">
        <v>45019</v>
      </c>
      <c r="M20" s="85">
        <v>45380</v>
      </c>
    </row>
    <row r="21" spans="1:14" ht="80" x14ac:dyDescent="0.2">
      <c r="A21" s="65" t="s">
        <v>214</v>
      </c>
      <c r="B21" s="65" t="s">
        <v>72</v>
      </c>
      <c r="C21" s="63" t="s">
        <v>7</v>
      </c>
      <c r="D21" s="68">
        <v>500000</v>
      </c>
      <c r="E21" s="67">
        <f>Table81012131415161718[[#This Row],[Total US$ ]]*$E$1</f>
        <v>8805000</v>
      </c>
      <c r="F21" s="65" t="s">
        <v>388</v>
      </c>
      <c r="G21" s="76" t="s">
        <v>372</v>
      </c>
      <c r="H21" s="76"/>
      <c r="I21" s="76"/>
      <c r="J21" s="84" t="s">
        <v>494</v>
      </c>
      <c r="K21" s="63" t="s">
        <v>450</v>
      </c>
      <c r="L21" s="85">
        <v>44562</v>
      </c>
      <c r="M21" s="85">
        <v>46022</v>
      </c>
    </row>
    <row r="22" spans="1:14" ht="32" x14ac:dyDescent="0.2">
      <c r="A22" s="65" t="s">
        <v>215</v>
      </c>
      <c r="B22" s="65" t="s">
        <v>468</v>
      </c>
      <c r="C22" s="63" t="s">
        <v>7</v>
      </c>
      <c r="D22" s="68">
        <v>580000</v>
      </c>
      <c r="E22" s="67">
        <f>Table81012131415161718[[#This Row],[Total US$ ]]*$E$1</f>
        <v>10213800</v>
      </c>
      <c r="F22" s="65" t="s">
        <v>388</v>
      </c>
      <c r="G22" s="76"/>
      <c r="H22" s="76"/>
      <c r="I22" s="76"/>
      <c r="J22" s="84" t="s">
        <v>495</v>
      </c>
      <c r="K22" s="63" t="s">
        <v>451</v>
      </c>
      <c r="L22" s="85">
        <v>44928</v>
      </c>
      <c r="M22" s="85">
        <v>45169</v>
      </c>
    </row>
    <row r="23" spans="1:14" ht="64" x14ac:dyDescent="0.2">
      <c r="A23" s="65" t="s">
        <v>216</v>
      </c>
      <c r="B23" s="65" t="s">
        <v>468</v>
      </c>
      <c r="C23" s="63" t="s">
        <v>3</v>
      </c>
      <c r="D23" s="68">
        <v>117637</v>
      </c>
      <c r="E23" s="67">
        <f>Table81012131415161718[[#This Row],[Total US$ ]]*$E$1</f>
        <v>2071587.5699999998</v>
      </c>
      <c r="F23" s="65" t="s">
        <v>388</v>
      </c>
      <c r="G23" s="94" t="s">
        <v>284</v>
      </c>
      <c r="H23" s="94"/>
      <c r="I23" s="94"/>
      <c r="J23" s="84" t="s">
        <v>494</v>
      </c>
      <c r="K23" s="63" t="s">
        <v>452</v>
      </c>
      <c r="L23" s="85">
        <v>44652</v>
      </c>
      <c r="M23" s="85">
        <v>45930</v>
      </c>
    </row>
    <row r="24" spans="1:14" ht="64" x14ac:dyDescent="0.2">
      <c r="A24" s="65" t="s">
        <v>217</v>
      </c>
      <c r="B24" s="65" t="s">
        <v>468</v>
      </c>
      <c r="C24" s="63" t="s">
        <v>67</v>
      </c>
      <c r="D24" s="68">
        <v>544291</v>
      </c>
      <c r="E24" s="67">
        <f>Table81012131415161718[[#This Row],[Total US$ ]]*$E$1</f>
        <v>9584964.5099999998</v>
      </c>
      <c r="F24" s="65" t="s">
        <v>388</v>
      </c>
      <c r="G24" s="76"/>
      <c r="H24" s="76"/>
      <c r="I24" s="76"/>
      <c r="J24" s="84" t="s">
        <v>495</v>
      </c>
      <c r="K24" s="63" t="s">
        <v>453</v>
      </c>
      <c r="L24" s="85">
        <v>44470</v>
      </c>
      <c r="M24" s="85">
        <v>45381</v>
      </c>
    </row>
    <row r="25" spans="1:14" ht="64" x14ac:dyDescent="0.2">
      <c r="A25" s="65" t="s">
        <v>218</v>
      </c>
      <c r="B25" s="65" t="s">
        <v>468</v>
      </c>
      <c r="C25" s="63" t="s">
        <v>5</v>
      </c>
      <c r="D25" s="68">
        <v>82331</v>
      </c>
      <c r="E25" s="67">
        <f>Table81012131415161718[[#This Row],[Total US$ ]]*$E$1</f>
        <v>1449848.91</v>
      </c>
      <c r="F25" s="65" t="s">
        <v>388</v>
      </c>
      <c r="G25" s="76"/>
      <c r="H25" s="76"/>
      <c r="I25" s="76"/>
      <c r="J25" s="84" t="s">
        <v>495</v>
      </c>
      <c r="K25" s="63" t="s">
        <v>454</v>
      </c>
      <c r="L25" s="85">
        <v>44470</v>
      </c>
      <c r="M25" s="85">
        <v>45381</v>
      </c>
    </row>
    <row r="26" spans="1:14" ht="80" x14ac:dyDescent="0.2">
      <c r="A26" s="65" t="s">
        <v>219</v>
      </c>
      <c r="B26" s="65" t="s">
        <v>56</v>
      </c>
      <c r="C26" s="63" t="s">
        <v>12</v>
      </c>
      <c r="D26" s="68">
        <v>289656</v>
      </c>
      <c r="E26" s="67">
        <f>Table81012131415161718[[#This Row],[Total US$ ]]*$E$1</f>
        <v>5100842.16</v>
      </c>
      <c r="F26" s="65" t="s">
        <v>388</v>
      </c>
      <c r="G26" s="94" t="s">
        <v>285</v>
      </c>
      <c r="H26" s="94"/>
      <c r="I26" s="94"/>
      <c r="J26" s="84" t="s">
        <v>495</v>
      </c>
      <c r="K26" s="63" t="s">
        <v>455</v>
      </c>
      <c r="L26" s="85">
        <v>44743</v>
      </c>
      <c r="M26" s="85">
        <v>45382</v>
      </c>
    </row>
    <row r="27" spans="1:14" ht="32" x14ac:dyDescent="0.2">
      <c r="A27" s="65" t="s">
        <v>220</v>
      </c>
      <c r="B27" s="65" t="s">
        <v>56</v>
      </c>
      <c r="C27" s="63" t="s">
        <v>17</v>
      </c>
      <c r="D27" s="68">
        <v>38718</v>
      </c>
      <c r="E27" s="67">
        <f>Table81012131415161718[[#This Row],[Total US$ ]]*$E$1</f>
        <v>681823.98</v>
      </c>
      <c r="F27" s="65" t="s">
        <v>388</v>
      </c>
      <c r="G27" s="94" t="s">
        <v>56</v>
      </c>
      <c r="H27" s="94"/>
      <c r="I27" s="94"/>
      <c r="J27" s="84" t="s">
        <v>495</v>
      </c>
      <c r="K27" s="63" t="s">
        <v>456</v>
      </c>
      <c r="L27" s="85">
        <v>44986</v>
      </c>
      <c r="M27" s="85">
        <v>45382</v>
      </c>
    </row>
    <row r="28" spans="1:14" ht="80" x14ac:dyDescent="0.2">
      <c r="A28" s="65" t="s">
        <v>221</v>
      </c>
      <c r="B28" s="65" t="s">
        <v>56</v>
      </c>
      <c r="C28" s="63" t="s">
        <v>18</v>
      </c>
      <c r="D28" s="68">
        <v>579075</v>
      </c>
      <c r="E28" s="67">
        <f>Table81012131415161718[[#This Row],[Total US$ ]]*$E$1</f>
        <v>10197510.75</v>
      </c>
      <c r="F28" s="65" t="s">
        <v>388</v>
      </c>
      <c r="G28" s="94" t="s">
        <v>286</v>
      </c>
      <c r="H28" s="94"/>
      <c r="I28" s="94"/>
      <c r="J28" s="84" t="s">
        <v>495</v>
      </c>
      <c r="K28" s="63" t="s">
        <v>457</v>
      </c>
      <c r="L28" s="85">
        <v>45019</v>
      </c>
      <c r="M28" s="85">
        <v>45380</v>
      </c>
    </row>
    <row r="29" spans="1:14" ht="176" x14ac:dyDescent="0.2">
      <c r="A29" s="65" t="s">
        <v>222</v>
      </c>
      <c r="B29" s="65" t="s">
        <v>56</v>
      </c>
      <c r="C29" s="63" t="s">
        <v>22</v>
      </c>
      <c r="D29" s="68">
        <v>1746097</v>
      </c>
      <c r="E29" s="67">
        <f>Table81012131415161718[[#This Row],[Total US$ ]]*$E$1</f>
        <v>30748768.169999998</v>
      </c>
      <c r="F29" s="65" t="s">
        <v>388</v>
      </c>
      <c r="G29" s="76"/>
      <c r="H29" s="76"/>
      <c r="I29" s="76"/>
      <c r="J29" s="84" t="s">
        <v>495</v>
      </c>
      <c r="K29" s="63" t="s">
        <v>458</v>
      </c>
      <c r="L29" s="85">
        <v>44470</v>
      </c>
      <c r="M29" s="85">
        <v>45381</v>
      </c>
      <c r="N29" s="113"/>
    </row>
    <row r="30" spans="1:14" ht="112" x14ac:dyDescent="0.2">
      <c r="A30" s="65" t="s">
        <v>223</v>
      </c>
      <c r="B30" s="65" t="s">
        <v>56</v>
      </c>
      <c r="C30" s="63" t="s">
        <v>22</v>
      </c>
      <c r="D30" s="68">
        <v>227368</v>
      </c>
      <c r="E30" s="67">
        <f>Table81012131415161718[[#This Row],[Total US$ ]]*$E$1</f>
        <v>4003950.48</v>
      </c>
      <c r="F30" s="65" t="s">
        <v>388</v>
      </c>
      <c r="G30" s="94" t="s">
        <v>26</v>
      </c>
      <c r="H30" s="94"/>
      <c r="I30" s="94"/>
      <c r="J30" s="84" t="s">
        <v>495</v>
      </c>
      <c r="K30" s="63" t="s">
        <v>459</v>
      </c>
      <c r="L30" s="85">
        <v>44837</v>
      </c>
      <c r="M30" s="85">
        <v>45016</v>
      </c>
    </row>
    <row r="31" spans="1:14" ht="16" x14ac:dyDescent="0.2">
      <c r="A31" s="65" t="s">
        <v>224</v>
      </c>
      <c r="B31" s="65" t="s">
        <v>56</v>
      </c>
      <c r="C31" s="63" t="s">
        <v>23</v>
      </c>
      <c r="D31" s="68">
        <v>9219</v>
      </c>
      <c r="E31" s="67">
        <f>Table81012131415161718[[#This Row],[Total US$ ]]*$E$1</f>
        <v>162346.59</v>
      </c>
      <c r="F31" s="65" t="s">
        <v>388</v>
      </c>
      <c r="G31" s="94" t="s">
        <v>56</v>
      </c>
      <c r="H31" s="94"/>
      <c r="I31" s="94"/>
      <c r="J31" s="84" t="s">
        <v>495</v>
      </c>
      <c r="K31" s="89" t="s">
        <v>24</v>
      </c>
      <c r="L31" s="85">
        <v>44958</v>
      </c>
      <c r="M31" s="85">
        <v>45380</v>
      </c>
    </row>
    <row r="32" spans="1:14" ht="32" x14ac:dyDescent="0.2">
      <c r="A32" s="65" t="s">
        <v>225</v>
      </c>
      <c r="B32" s="65" t="s">
        <v>56</v>
      </c>
      <c r="C32" s="63" t="s">
        <v>278</v>
      </c>
      <c r="D32" s="68">
        <v>210699</v>
      </c>
      <c r="E32" s="67">
        <f>Table81012131415161718[[#This Row],[Total US$ ]]*$E$1</f>
        <v>3710409.3899999997</v>
      </c>
      <c r="F32" s="65" t="s">
        <v>388</v>
      </c>
      <c r="G32" s="94" t="s">
        <v>56</v>
      </c>
      <c r="H32" s="94"/>
      <c r="I32" s="94"/>
      <c r="J32" s="84" t="s">
        <v>495</v>
      </c>
      <c r="K32" s="63" t="s">
        <v>460</v>
      </c>
      <c r="L32" s="85">
        <v>44837</v>
      </c>
      <c r="M32" s="85">
        <v>45016</v>
      </c>
    </row>
    <row r="33" spans="1:17" ht="32" x14ac:dyDescent="0.2">
      <c r="A33" s="65" t="s">
        <v>226</v>
      </c>
      <c r="B33" s="65" t="s">
        <v>72</v>
      </c>
      <c r="C33" s="63" t="s">
        <v>31</v>
      </c>
      <c r="D33" s="68">
        <v>449743</v>
      </c>
      <c r="E33" s="67">
        <f>Table81012131415161718[[#This Row],[Total US$ ]]*$E$1</f>
        <v>7919974.2299999995</v>
      </c>
      <c r="F33" s="65" t="s">
        <v>388</v>
      </c>
      <c r="G33" s="94" t="s">
        <v>57</v>
      </c>
      <c r="H33" s="94"/>
      <c r="I33" s="94"/>
      <c r="J33" s="84" t="s">
        <v>495</v>
      </c>
      <c r="K33" s="63" t="s">
        <v>461</v>
      </c>
      <c r="L33" s="85">
        <v>44621</v>
      </c>
      <c r="M33" s="85">
        <v>45384</v>
      </c>
    </row>
    <row r="34" spans="1:17" ht="32" x14ac:dyDescent="0.2">
      <c r="A34" s="65" t="s">
        <v>227</v>
      </c>
      <c r="B34" s="65" t="s">
        <v>72</v>
      </c>
      <c r="C34" s="63" t="s">
        <v>272</v>
      </c>
      <c r="D34" s="68">
        <v>1617041</v>
      </c>
      <c r="E34" s="67">
        <f>Table81012131415161718[[#This Row],[Total US$ ]]*$E$1</f>
        <v>28476092.009999998</v>
      </c>
      <c r="F34" s="65" t="s">
        <v>388</v>
      </c>
      <c r="G34" s="76"/>
      <c r="H34" s="76"/>
      <c r="I34" s="76"/>
      <c r="J34" s="84" t="s">
        <v>495</v>
      </c>
      <c r="K34" s="63" t="s">
        <v>462</v>
      </c>
      <c r="L34" s="85">
        <v>44621</v>
      </c>
      <c r="M34" s="85">
        <v>45384</v>
      </c>
    </row>
    <row r="35" spans="1:17" ht="128" x14ac:dyDescent="0.2">
      <c r="A35" s="65" t="s">
        <v>228</v>
      </c>
      <c r="B35" s="65" t="s">
        <v>56</v>
      </c>
      <c r="C35" s="63" t="s">
        <v>274</v>
      </c>
      <c r="D35" s="68">
        <v>286850</v>
      </c>
      <c r="E35" s="67">
        <f>Table81012131415161718[[#This Row],[Total US$ ]]*$E$1</f>
        <v>5051428.5</v>
      </c>
      <c r="F35" s="65" t="s">
        <v>388</v>
      </c>
      <c r="G35" s="76"/>
      <c r="H35" s="76"/>
      <c r="I35" s="76"/>
      <c r="J35" s="84" t="s">
        <v>495</v>
      </c>
      <c r="K35" s="63" t="s">
        <v>463</v>
      </c>
      <c r="L35" s="85">
        <v>44986</v>
      </c>
      <c r="M35" s="85">
        <v>45381</v>
      </c>
    </row>
    <row r="36" spans="1:17" ht="192" x14ac:dyDescent="0.2">
      <c r="A36" s="65" t="s">
        <v>229</v>
      </c>
      <c r="B36" s="65" t="s">
        <v>468</v>
      </c>
      <c r="C36" s="63" t="s">
        <v>67</v>
      </c>
      <c r="D36" s="68">
        <v>550000</v>
      </c>
      <c r="E36" s="67">
        <f>Table81012131415161718[[#This Row],[Total US$ ]]*$E$1</f>
        <v>9685500</v>
      </c>
      <c r="F36" s="65" t="s">
        <v>388</v>
      </c>
      <c r="G36" s="76" t="s">
        <v>373</v>
      </c>
      <c r="H36" s="76"/>
      <c r="I36" s="76"/>
      <c r="J36" s="84" t="s">
        <v>494</v>
      </c>
      <c r="K36" s="63" t="s">
        <v>464</v>
      </c>
      <c r="L36" s="85">
        <v>44562</v>
      </c>
      <c r="M36" s="85">
        <v>45657</v>
      </c>
    </row>
    <row r="37" spans="1:17" ht="288" x14ac:dyDescent="0.2">
      <c r="A37" s="65" t="s">
        <v>432</v>
      </c>
      <c r="B37" s="65" t="s">
        <v>72</v>
      </c>
      <c r="C37" s="63" t="s">
        <v>22</v>
      </c>
      <c r="D37" s="68">
        <v>81507</v>
      </c>
      <c r="E37" s="67">
        <f>Table81012131415161718[[#This Row],[Total US$ ]]*$E$1</f>
        <v>1435338.27</v>
      </c>
      <c r="F37" s="65" t="s">
        <v>388</v>
      </c>
      <c r="G37" s="76" t="s">
        <v>435</v>
      </c>
      <c r="H37" s="95"/>
      <c r="I37" s="95"/>
      <c r="J37" s="84" t="s">
        <v>494</v>
      </c>
      <c r="K37" s="63" t="s">
        <v>465</v>
      </c>
      <c r="L37" s="85">
        <v>44928</v>
      </c>
      <c r="M37" s="85">
        <v>45657</v>
      </c>
    </row>
    <row r="38" spans="1:17" s="34" customFormat="1" ht="96" x14ac:dyDescent="0.2">
      <c r="A38" s="65" t="s">
        <v>677</v>
      </c>
      <c r="B38" s="65" t="s">
        <v>72</v>
      </c>
      <c r="C38" s="63" t="s">
        <v>72</v>
      </c>
      <c r="D38" s="68">
        <v>1400000</v>
      </c>
      <c r="E38" s="67">
        <f>Table81012131415161718[[#This Row],[Total US$ ]]*$E$1</f>
        <v>24654000</v>
      </c>
      <c r="F38" s="65" t="s">
        <v>388</v>
      </c>
      <c r="G38" s="76" t="s">
        <v>678</v>
      </c>
      <c r="H38" s="76"/>
      <c r="I38" s="76" t="s">
        <v>679</v>
      </c>
      <c r="J38" s="84" t="s">
        <v>494</v>
      </c>
      <c r="K38" s="63" t="s">
        <v>680</v>
      </c>
      <c r="L38" s="85">
        <v>45569</v>
      </c>
      <c r="M38" s="85">
        <v>45930</v>
      </c>
    </row>
    <row r="39" spans="1:17" x14ac:dyDescent="0.2">
      <c r="B39" s="6"/>
      <c r="C39" s="12"/>
      <c r="D39" s="54">
        <f>SUBTOTAL(109,Table81012131415161718[Total US$ ])</f>
        <v>55736398</v>
      </c>
      <c r="E39" s="70">
        <f>SUBTOTAL(109,Table81012131415161718[Total ZAR])</f>
        <v>981517968.77999997</v>
      </c>
      <c r="F39" s="6"/>
      <c r="G39" s="7"/>
      <c r="H39" s="7"/>
      <c r="I39" s="7"/>
      <c r="J39" s="48"/>
      <c r="K39" s="7"/>
      <c r="L39" s="14"/>
      <c r="M39" s="14"/>
    </row>
    <row r="40" spans="1:17" x14ac:dyDescent="0.2">
      <c r="A40" s="30"/>
      <c r="B40" s="6"/>
      <c r="C40" s="96"/>
      <c r="D40" s="42"/>
      <c r="E40" s="97"/>
      <c r="F40" s="6"/>
      <c r="G40" s="98"/>
      <c r="H40" s="98"/>
      <c r="I40" s="98"/>
      <c r="J40" s="49"/>
      <c r="K40" s="96"/>
      <c r="L40" s="99"/>
      <c r="M40" s="99"/>
    </row>
    <row r="41" spans="1:17" ht="32" customHeight="1" x14ac:dyDescent="0.2">
      <c r="A41" s="230" t="s">
        <v>676</v>
      </c>
      <c r="B41" s="230"/>
      <c r="C41" s="230"/>
      <c r="D41" s="230"/>
      <c r="E41" s="230"/>
      <c r="F41" s="230"/>
      <c r="G41" s="230"/>
      <c r="H41" s="230"/>
      <c r="I41" s="230"/>
      <c r="J41" s="230"/>
      <c r="K41" s="230"/>
      <c r="L41" s="230"/>
      <c r="M41" s="230"/>
      <c r="N41" s="230"/>
      <c r="O41" s="230"/>
      <c r="P41" s="230"/>
      <c r="Q41" s="230"/>
    </row>
    <row r="42" spans="1:17" x14ac:dyDescent="0.2">
      <c r="B42" s="1"/>
      <c r="E42" s="1"/>
      <c r="F42" s="1"/>
      <c r="G42" s="8"/>
      <c r="H42" s="8"/>
      <c r="I42" s="8"/>
      <c r="J42" s="1"/>
      <c r="K42" s="3"/>
      <c r="M42" s="17"/>
      <c r="N42" s="19"/>
      <c r="O42" s="19"/>
    </row>
    <row r="43" spans="1:17" ht="15" customHeight="1" x14ac:dyDescent="0.2">
      <c r="A43" s="230" t="s">
        <v>561</v>
      </c>
      <c r="B43" s="230"/>
      <c r="C43" s="230"/>
      <c r="D43" s="230"/>
      <c r="E43" s="230"/>
      <c r="F43" s="230"/>
      <c r="G43" s="230"/>
      <c r="H43" s="230"/>
      <c r="I43" s="230"/>
      <c r="J43" s="230"/>
      <c r="K43" s="230"/>
      <c r="L43" s="230"/>
      <c r="M43" s="17"/>
      <c r="N43" s="19"/>
      <c r="O43" s="19"/>
    </row>
    <row r="44" spans="1:17" x14ac:dyDescent="0.2">
      <c r="A44" s="30"/>
      <c r="B44" s="34"/>
      <c r="C44" s="34"/>
      <c r="D44" s="40"/>
      <c r="E44" s="40"/>
      <c r="F44" s="27"/>
      <c r="G44" s="5"/>
      <c r="H44" s="5"/>
      <c r="I44" s="5"/>
      <c r="J44" s="36"/>
      <c r="K44" s="38"/>
      <c r="L44" s="36"/>
      <c r="M44" s="41"/>
      <c r="N44" s="41"/>
    </row>
    <row r="45" spans="1:17" x14ac:dyDescent="0.2">
      <c r="A45" s="2" t="s">
        <v>502</v>
      </c>
      <c r="B45" s="30"/>
      <c r="C45" s="6"/>
      <c r="D45" s="42"/>
      <c r="E45" s="42"/>
      <c r="F45" s="27"/>
      <c r="G45" s="5"/>
      <c r="H45" s="5"/>
      <c r="I45" s="5"/>
      <c r="J45" s="31"/>
      <c r="K45" s="23"/>
      <c r="L45" s="31"/>
      <c r="M45" s="33"/>
      <c r="N45" s="33"/>
    </row>
    <row r="49" spans="1:13" x14ac:dyDescent="0.2">
      <c r="A49" s="30"/>
      <c r="B49" s="6"/>
      <c r="C49" s="96"/>
      <c r="D49" s="42"/>
      <c r="E49" s="97"/>
      <c r="F49" s="6"/>
      <c r="G49" s="98"/>
      <c r="H49" s="98"/>
      <c r="I49" s="98"/>
      <c r="J49" s="49"/>
      <c r="K49" s="96"/>
      <c r="L49" s="99"/>
      <c r="M49" s="99"/>
    </row>
    <row r="50" spans="1:13" x14ac:dyDescent="0.2">
      <c r="A50" s="30"/>
      <c r="B50" s="6"/>
      <c r="C50" s="96"/>
      <c r="D50" s="42"/>
      <c r="E50" s="97"/>
      <c r="F50" s="6"/>
      <c r="G50" s="98"/>
      <c r="H50" s="98"/>
      <c r="I50" s="98"/>
      <c r="J50" s="49"/>
      <c r="K50" s="96"/>
      <c r="L50" s="99"/>
      <c r="M50" s="99"/>
    </row>
    <row r="51" spans="1:13" x14ac:dyDescent="0.2">
      <c r="A51" s="30"/>
      <c r="B51" s="6"/>
      <c r="C51" s="96"/>
      <c r="D51" s="42"/>
      <c r="E51" s="97"/>
      <c r="F51" s="6"/>
      <c r="G51" s="98"/>
      <c r="H51" s="98"/>
      <c r="I51" s="98"/>
      <c r="J51" s="49"/>
      <c r="K51" s="96"/>
      <c r="L51" s="99"/>
      <c r="M51" s="99"/>
    </row>
    <row r="52" spans="1:13" x14ac:dyDescent="0.2">
      <c r="A52" s="30"/>
      <c r="B52" s="6"/>
      <c r="C52" s="96"/>
      <c r="D52" s="42"/>
      <c r="E52" s="97"/>
      <c r="F52" s="6"/>
      <c r="G52" s="98"/>
      <c r="H52" s="98"/>
      <c r="I52" s="98"/>
      <c r="J52" s="49"/>
      <c r="K52" s="96"/>
      <c r="L52" s="99"/>
      <c r="M52" s="99"/>
    </row>
    <row r="53" spans="1:13" x14ac:dyDescent="0.2">
      <c r="A53" s="30"/>
      <c r="B53" s="6"/>
      <c r="C53" s="96"/>
      <c r="D53" s="42"/>
      <c r="E53" s="97"/>
      <c r="F53" s="6"/>
      <c r="G53" s="98"/>
      <c r="H53" s="98"/>
      <c r="I53" s="98"/>
      <c r="J53" s="49"/>
      <c r="K53" s="96"/>
      <c r="L53" s="99"/>
      <c r="M53" s="99"/>
    </row>
    <row r="54" spans="1:13" x14ac:dyDescent="0.2">
      <c r="A54" s="30"/>
      <c r="B54" s="6"/>
      <c r="C54" s="96"/>
      <c r="D54" s="42"/>
      <c r="E54" s="97"/>
      <c r="F54" s="6"/>
      <c r="G54" s="98"/>
      <c r="H54" s="98"/>
      <c r="I54" s="98"/>
      <c r="J54" s="49"/>
      <c r="K54" s="96"/>
      <c r="L54" s="99"/>
      <c r="M54" s="99"/>
    </row>
    <row r="55" spans="1:13" x14ac:dyDescent="0.2">
      <c r="A55" s="30"/>
      <c r="B55" s="6"/>
      <c r="C55" s="96"/>
      <c r="D55" s="42"/>
      <c r="E55" s="97"/>
      <c r="F55" s="6"/>
      <c r="G55" s="98"/>
      <c r="H55" s="98"/>
      <c r="I55" s="98"/>
      <c r="J55" s="49"/>
      <c r="K55" s="96"/>
      <c r="L55" s="99"/>
      <c r="M55" s="99"/>
    </row>
    <row r="56" spans="1:13" x14ac:dyDescent="0.2">
      <c r="A56" s="30"/>
      <c r="B56" s="6"/>
      <c r="C56" s="96"/>
      <c r="D56" s="42"/>
      <c r="E56" s="97"/>
      <c r="F56" s="6"/>
      <c r="G56" s="98"/>
      <c r="H56" s="98"/>
      <c r="I56" s="98"/>
      <c r="J56" s="49"/>
      <c r="K56" s="96"/>
      <c r="L56" s="99"/>
      <c r="M56" s="99"/>
    </row>
    <row r="57" spans="1:13" x14ac:dyDescent="0.2">
      <c r="A57" s="30"/>
      <c r="B57" s="6"/>
      <c r="C57" s="96"/>
      <c r="D57" s="42"/>
      <c r="E57" s="97"/>
      <c r="F57" s="6"/>
      <c r="G57" s="98"/>
      <c r="H57" s="98"/>
      <c r="I57" s="98"/>
      <c r="J57" s="49"/>
      <c r="K57" s="96"/>
      <c r="L57" s="99"/>
      <c r="M57" s="99"/>
    </row>
    <row r="58" spans="1:13" x14ac:dyDescent="0.2">
      <c r="A58" s="30"/>
      <c r="B58" s="6"/>
      <c r="C58" s="96"/>
      <c r="D58" s="42"/>
      <c r="E58" s="97"/>
      <c r="F58" s="6"/>
      <c r="G58" s="98"/>
      <c r="H58" s="98"/>
      <c r="I58" s="98"/>
      <c r="J58" s="49"/>
      <c r="K58" s="96"/>
      <c r="L58" s="99"/>
      <c r="M58" s="99"/>
    </row>
    <row r="59" spans="1:13" x14ac:dyDescent="0.2">
      <c r="A59" s="30"/>
      <c r="B59" s="6"/>
      <c r="C59" s="96"/>
      <c r="D59" s="42"/>
      <c r="E59" s="97"/>
      <c r="F59" s="6"/>
      <c r="G59" s="98"/>
      <c r="H59" s="98"/>
      <c r="I59" s="98"/>
      <c r="J59" s="49"/>
      <c r="K59" s="96"/>
      <c r="L59" s="99"/>
      <c r="M59" s="99"/>
    </row>
    <row r="60" spans="1:13" x14ac:dyDescent="0.2">
      <c r="A60" s="30"/>
      <c r="B60" s="6"/>
      <c r="C60" s="96"/>
      <c r="D60" s="42"/>
      <c r="E60" s="97"/>
      <c r="F60" s="6"/>
      <c r="G60" s="98"/>
      <c r="H60" s="98"/>
      <c r="I60" s="98"/>
      <c r="J60" s="49"/>
      <c r="K60" s="96"/>
      <c r="L60" s="99"/>
      <c r="M60" s="99"/>
    </row>
    <row r="61" spans="1:13" x14ac:dyDescent="0.2">
      <c r="A61" s="30"/>
      <c r="B61" s="6"/>
      <c r="C61" s="96"/>
      <c r="D61" s="42"/>
      <c r="E61" s="97"/>
      <c r="F61" s="6"/>
      <c r="G61" s="98"/>
      <c r="H61" s="98"/>
      <c r="I61" s="98"/>
      <c r="J61" s="49"/>
      <c r="K61" s="96"/>
      <c r="L61" s="99"/>
      <c r="M61" s="99"/>
    </row>
    <row r="62" spans="1:13" x14ac:dyDescent="0.2">
      <c r="A62" s="30"/>
      <c r="B62" s="6"/>
      <c r="C62" s="96"/>
      <c r="D62" s="42"/>
      <c r="E62" s="97"/>
      <c r="F62" s="6"/>
      <c r="G62" s="98"/>
      <c r="H62" s="98"/>
      <c r="I62" s="98"/>
      <c r="J62" s="49"/>
      <c r="K62" s="96"/>
      <c r="L62" s="99"/>
      <c r="M62" s="99"/>
    </row>
    <row r="63" spans="1:13" x14ac:dyDescent="0.2">
      <c r="A63" s="30"/>
      <c r="B63" s="6"/>
      <c r="C63" s="96"/>
      <c r="D63" s="42"/>
      <c r="E63" s="97"/>
      <c r="F63" s="6"/>
      <c r="G63" s="98"/>
      <c r="H63" s="98"/>
      <c r="I63" s="98"/>
      <c r="J63" s="49"/>
      <c r="K63" s="96"/>
      <c r="L63" s="99"/>
      <c r="M63" s="99"/>
    </row>
    <row r="64" spans="1:13" x14ac:dyDescent="0.2">
      <c r="A64" s="30"/>
      <c r="B64" s="6"/>
      <c r="C64" s="96"/>
      <c r="D64" s="42"/>
      <c r="E64" s="97"/>
      <c r="F64" s="6"/>
      <c r="G64" s="98"/>
      <c r="H64" s="98"/>
      <c r="I64" s="98"/>
      <c r="J64" s="49"/>
      <c r="K64" s="96"/>
      <c r="L64" s="99"/>
      <c r="M64" s="99"/>
    </row>
    <row r="65" spans="1:13" x14ac:dyDescent="0.2">
      <c r="A65" s="30"/>
      <c r="B65" s="6"/>
      <c r="C65" s="96"/>
      <c r="D65" s="42"/>
      <c r="E65" s="97"/>
      <c r="F65" s="6"/>
      <c r="G65" s="98"/>
      <c r="H65" s="98"/>
      <c r="I65" s="98"/>
      <c r="J65" s="49"/>
      <c r="K65" s="96"/>
      <c r="L65" s="99"/>
      <c r="M65" s="99"/>
    </row>
    <row r="66" spans="1:13" x14ac:dyDescent="0.2">
      <c r="A66" s="30"/>
      <c r="B66" s="6"/>
      <c r="C66" s="96"/>
      <c r="D66" s="42"/>
      <c r="E66" s="97"/>
      <c r="F66" s="6"/>
      <c r="G66" s="98"/>
      <c r="H66" s="98"/>
      <c r="I66" s="98"/>
      <c r="J66" s="49"/>
      <c r="K66" s="96"/>
      <c r="L66" s="99"/>
      <c r="M66" s="99"/>
    </row>
    <row r="67" spans="1:13" x14ac:dyDescent="0.2">
      <c r="A67" s="30"/>
      <c r="B67" s="6"/>
      <c r="C67" s="96"/>
      <c r="D67" s="42"/>
      <c r="E67" s="97"/>
      <c r="F67" s="6"/>
      <c r="G67" s="98"/>
      <c r="H67" s="98"/>
      <c r="I67" s="98"/>
      <c r="J67" s="49"/>
      <c r="K67" s="96"/>
      <c r="L67" s="99"/>
      <c r="M67" s="99"/>
    </row>
    <row r="68" spans="1:13" x14ac:dyDescent="0.2">
      <c r="A68" s="30"/>
      <c r="B68" s="6"/>
      <c r="C68" s="96"/>
      <c r="D68" s="42"/>
      <c r="E68" s="97"/>
      <c r="F68" s="6"/>
      <c r="G68" s="98"/>
      <c r="H68" s="98"/>
      <c r="I68" s="98"/>
      <c r="J68" s="49"/>
      <c r="K68" s="96"/>
      <c r="L68" s="99"/>
      <c r="M68" s="99"/>
    </row>
    <row r="69" spans="1:13" x14ac:dyDescent="0.2">
      <c r="A69" s="30"/>
      <c r="B69" s="6"/>
      <c r="C69" s="96"/>
      <c r="D69" s="42"/>
      <c r="E69" s="97"/>
      <c r="F69" s="6"/>
      <c r="G69" s="98"/>
      <c r="H69" s="98"/>
      <c r="I69" s="98"/>
      <c r="J69" s="49"/>
      <c r="K69" s="96"/>
      <c r="L69" s="99"/>
      <c r="M69" s="99"/>
    </row>
    <row r="70" spans="1:13" x14ac:dyDescent="0.2">
      <c r="A70" s="30"/>
      <c r="B70" s="6"/>
      <c r="C70" s="96"/>
      <c r="D70" s="42"/>
      <c r="E70" s="97"/>
      <c r="F70" s="6"/>
      <c r="G70" s="98"/>
      <c r="H70" s="98"/>
      <c r="I70" s="98"/>
      <c r="J70" s="49"/>
      <c r="K70" s="96"/>
      <c r="L70" s="99"/>
      <c r="M70" s="99"/>
    </row>
    <row r="71" spans="1:13" x14ac:dyDescent="0.2">
      <c r="A71" s="30"/>
      <c r="B71" s="6"/>
      <c r="C71" s="96"/>
      <c r="D71" s="42"/>
      <c r="E71" s="97"/>
      <c r="F71" s="6"/>
      <c r="G71" s="98"/>
      <c r="H71" s="98"/>
      <c r="I71" s="98"/>
      <c r="J71" s="49"/>
      <c r="K71" s="96"/>
      <c r="L71" s="99"/>
      <c r="M71" s="99"/>
    </row>
    <row r="72" spans="1:13" x14ac:dyDescent="0.2">
      <c r="A72" s="30"/>
      <c r="B72" s="6"/>
      <c r="C72" s="96"/>
      <c r="D72" s="42"/>
      <c r="E72" s="97"/>
      <c r="F72" s="6"/>
      <c r="G72" s="98"/>
      <c r="H72" s="98"/>
      <c r="I72" s="98"/>
      <c r="J72" s="49"/>
      <c r="K72" s="96"/>
      <c r="L72" s="99"/>
      <c r="M72" s="99"/>
    </row>
    <row r="73" spans="1:13" x14ac:dyDescent="0.2">
      <c r="A73" s="30"/>
      <c r="B73" s="6"/>
      <c r="C73" s="96"/>
      <c r="D73" s="42"/>
      <c r="E73" s="97"/>
      <c r="F73" s="6"/>
      <c r="G73" s="98"/>
      <c r="H73" s="98"/>
      <c r="I73" s="98"/>
      <c r="J73" s="49"/>
      <c r="K73" s="96"/>
      <c r="L73" s="99"/>
      <c r="M73" s="99"/>
    </row>
    <row r="74" spans="1:13" x14ac:dyDescent="0.2">
      <c r="A74" s="30"/>
      <c r="B74" s="6"/>
      <c r="C74" s="96"/>
      <c r="D74" s="42"/>
      <c r="E74" s="97"/>
      <c r="F74" s="6"/>
      <c r="G74" s="98"/>
      <c r="H74" s="98"/>
      <c r="I74" s="98"/>
      <c r="J74" s="49"/>
      <c r="K74" s="96"/>
      <c r="L74" s="99"/>
      <c r="M74" s="99"/>
    </row>
    <row r="75" spans="1:13" x14ac:dyDescent="0.2">
      <c r="A75" s="30"/>
      <c r="B75" s="6"/>
      <c r="C75" s="96"/>
      <c r="D75" s="42"/>
      <c r="E75" s="97"/>
      <c r="F75" s="6"/>
      <c r="G75" s="98"/>
      <c r="H75" s="98"/>
      <c r="I75" s="98"/>
      <c r="J75" s="49"/>
      <c r="K75" s="96"/>
      <c r="L75" s="99"/>
      <c r="M75" s="99"/>
    </row>
    <row r="76" spans="1:13" x14ac:dyDescent="0.2">
      <c r="A76" s="30"/>
      <c r="B76" s="6"/>
      <c r="C76" s="96"/>
      <c r="D76" s="42"/>
      <c r="E76" s="97"/>
      <c r="F76" s="6"/>
      <c r="G76" s="98"/>
      <c r="H76" s="98"/>
      <c r="I76" s="98"/>
      <c r="J76" s="49"/>
      <c r="K76" s="96"/>
      <c r="L76" s="99"/>
      <c r="M76" s="99"/>
    </row>
    <row r="77" spans="1:13" x14ac:dyDescent="0.2">
      <c r="A77" s="30"/>
      <c r="B77" s="6"/>
      <c r="C77" s="96"/>
      <c r="D77" s="42"/>
      <c r="E77" s="97"/>
      <c r="F77" s="6"/>
      <c r="G77" s="98"/>
      <c r="H77" s="98"/>
      <c r="I77" s="98"/>
      <c r="J77" s="49"/>
      <c r="K77" s="96"/>
      <c r="L77" s="99"/>
      <c r="M77" s="99"/>
    </row>
    <row r="78" spans="1:13" x14ac:dyDescent="0.2">
      <c r="A78" s="30"/>
      <c r="B78" s="6"/>
      <c r="C78" s="96"/>
      <c r="D78" s="42"/>
      <c r="E78" s="97"/>
      <c r="F78" s="6"/>
      <c r="G78" s="98"/>
      <c r="H78" s="98"/>
      <c r="I78" s="98"/>
      <c r="J78" s="49"/>
      <c r="K78" s="96"/>
      <c r="L78" s="99"/>
      <c r="M78" s="99"/>
    </row>
    <row r="79" spans="1:13" x14ac:dyDescent="0.2">
      <c r="A79" s="30"/>
      <c r="B79" s="6"/>
      <c r="C79" s="96"/>
      <c r="D79" s="42"/>
      <c r="E79" s="97"/>
      <c r="F79" s="6"/>
      <c r="G79" s="98"/>
      <c r="H79" s="98"/>
      <c r="I79" s="98"/>
      <c r="J79" s="49"/>
      <c r="K79" s="96"/>
      <c r="L79" s="99"/>
      <c r="M79" s="99"/>
    </row>
    <row r="80" spans="1:13" x14ac:dyDescent="0.2">
      <c r="A80" s="30"/>
      <c r="B80" s="6"/>
      <c r="C80" s="96"/>
      <c r="D80" s="42"/>
      <c r="E80" s="97"/>
      <c r="F80" s="6"/>
      <c r="G80" s="98"/>
      <c r="H80" s="98"/>
      <c r="I80" s="98"/>
      <c r="J80" s="49"/>
      <c r="K80" s="96"/>
      <c r="L80" s="99"/>
      <c r="M80" s="99"/>
    </row>
    <row r="81" spans="1:13" x14ac:dyDescent="0.2">
      <c r="A81" s="30"/>
      <c r="B81" s="6"/>
      <c r="C81" s="96"/>
      <c r="D81" s="42"/>
      <c r="E81" s="97"/>
      <c r="F81" s="6"/>
      <c r="G81" s="98"/>
      <c r="H81" s="98"/>
      <c r="I81" s="98"/>
      <c r="J81" s="49"/>
      <c r="K81" s="96"/>
      <c r="L81" s="99"/>
      <c r="M81" s="99"/>
    </row>
    <row r="82" spans="1:13" x14ac:dyDescent="0.2">
      <c r="A82" s="30"/>
      <c r="B82" s="6"/>
      <c r="C82" s="96"/>
      <c r="D82" s="42"/>
      <c r="E82" s="97"/>
      <c r="F82" s="6"/>
      <c r="G82" s="98"/>
      <c r="H82" s="98"/>
      <c r="I82" s="98"/>
      <c r="J82" s="49"/>
      <c r="K82" s="96"/>
      <c r="L82" s="99"/>
      <c r="M82" s="99"/>
    </row>
    <row r="83" spans="1:13" x14ac:dyDescent="0.2">
      <c r="A83" s="30"/>
      <c r="B83" s="6"/>
      <c r="C83" s="96"/>
      <c r="D83" s="42"/>
      <c r="E83" s="97"/>
      <c r="F83" s="6"/>
      <c r="G83" s="98"/>
      <c r="H83" s="98"/>
      <c r="I83" s="98"/>
      <c r="J83" s="49"/>
      <c r="K83" s="96"/>
      <c r="L83" s="99"/>
      <c r="M83" s="99"/>
    </row>
    <row r="84" spans="1:13" x14ac:dyDescent="0.2">
      <c r="A84" s="30"/>
      <c r="B84" s="6"/>
      <c r="C84" s="96"/>
      <c r="D84" s="42"/>
      <c r="E84" s="97"/>
      <c r="F84" s="6"/>
      <c r="G84" s="98"/>
      <c r="H84" s="98"/>
      <c r="I84" s="98"/>
      <c r="J84" s="49"/>
      <c r="K84" s="96"/>
      <c r="L84" s="99"/>
      <c r="M84" s="99"/>
    </row>
    <row r="85" spans="1:13" x14ac:dyDescent="0.2">
      <c r="A85" s="30"/>
      <c r="B85" s="6"/>
      <c r="C85" s="96"/>
      <c r="D85" s="42"/>
      <c r="E85" s="97"/>
      <c r="F85" s="6"/>
      <c r="G85" s="98"/>
      <c r="H85" s="98"/>
      <c r="I85" s="98"/>
      <c r="J85" s="49"/>
      <c r="K85" s="96"/>
      <c r="L85" s="99"/>
      <c r="M85" s="99"/>
    </row>
    <row r="86" spans="1:13" x14ac:dyDescent="0.2">
      <c r="A86" s="30"/>
      <c r="B86" s="6"/>
      <c r="C86" s="96"/>
      <c r="D86" s="42"/>
      <c r="E86" s="97"/>
      <c r="F86" s="6"/>
      <c r="G86" s="98"/>
      <c r="H86" s="98"/>
      <c r="I86" s="98"/>
      <c r="J86" s="49"/>
      <c r="K86" s="96"/>
      <c r="L86" s="99"/>
      <c r="M86" s="99"/>
    </row>
    <row r="87" spans="1:13" x14ac:dyDescent="0.2">
      <c r="A87" s="30"/>
      <c r="B87" s="6"/>
      <c r="C87" s="96"/>
      <c r="D87" s="42"/>
      <c r="E87" s="97"/>
      <c r="F87" s="6"/>
      <c r="G87" s="98"/>
      <c r="H87" s="98"/>
      <c r="I87" s="98"/>
      <c r="J87" s="49"/>
      <c r="K87" s="96"/>
      <c r="L87" s="99"/>
      <c r="M87" s="99"/>
    </row>
    <row r="88" spans="1:13" x14ac:dyDescent="0.2">
      <c r="A88" s="30"/>
      <c r="B88" s="6"/>
      <c r="C88" s="96"/>
      <c r="D88" s="42"/>
      <c r="E88" s="97"/>
      <c r="F88" s="6"/>
      <c r="G88" s="98"/>
      <c r="H88" s="98"/>
      <c r="I88" s="98"/>
      <c r="J88" s="49"/>
      <c r="K88" s="96"/>
      <c r="L88" s="99"/>
      <c r="M88" s="99"/>
    </row>
    <row r="89" spans="1:13" x14ac:dyDescent="0.2">
      <c r="A89" s="30"/>
      <c r="B89" s="6"/>
      <c r="C89" s="96"/>
      <c r="D89" s="42"/>
      <c r="E89" s="97"/>
      <c r="F89" s="6"/>
      <c r="G89" s="98"/>
      <c r="H89" s="98"/>
      <c r="I89" s="98"/>
      <c r="J89" s="49"/>
      <c r="K89" s="96"/>
      <c r="L89" s="99"/>
      <c r="M89" s="99"/>
    </row>
    <row r="90" spans="1:13" x14ac:dyDescent="0.2">
      <c r="A90" s="30"/>
      <c r="B90" s="6"/>
      <c r="C90" s="96"/>
      <c r="D90" s="42"/>
      <c r="E90" s="97"/>
      <c r="F90" s="6"/>
      <c r="G90" s="98"/>
      <c r="H90" s="98"/>
      <c r="I90" s="98"/>
      <c r="J90" s="49"/>
      <c r="K90" s="96"/>
      <c r="L90" s="99"/>
      <c r="M90" s="99"/>
    </row>
    <row r="91" spans="1:13" x14ac:dyDescent="0.2">
      <c r="A91" s="30"/>
      <c r="B91" s="6"/>
      <c r="C91" s="96"/>
      <c r="D91" s="42"/>
      <c r="E91" s="97"/>
      <c r="F91" s="6"/>
      <c r="G91" s="98"/>
      <c r="H91" s="98"/>
      <c r="I91" s="98"/>
      <c r="J91" s="49"/>
      <c r="K91" s="96"/>
      <c r="L91" s="99"/>
      <c r="M91" s="99"/>
    </row>
    <row r="92" spans="1:13" x14ac:dyDescent="0.2">
      <c r="A92" s="30"/>
      <c r="B92" s="6"/>
      <c r="C92" s="96"/>
      <c r="D92" s="42"/>
      <c r="E92" s="97"/>
      <c r="F92" s="6"/>
      <c r="G92" s="98"/>
      <c r="H92" s="98"/>
      <c r="I92" s="98"/>
      <c r="J92" s="49"/>
      <c r="K92" s="96"/>
      <c r="L92" s="99"/>
      <c r="M92" s="99"/>
    </row>
    <row r="93" spans="1:13" x14ac:dyDescent="0.2">
      <c r="A93" s="30"/>
      <c r="B93" s="6"/>
      <c r="C93" s="96"/>
      <c r="D93" s="42"/>
      <c r="E93" s="97"/>
      <c r="F93" s="6"/>
      <c r="G93" s="98"/>
      <c r="H93" s="98"/>
      <c r="I93" s="98"/>
      <c r="J93" s="49"/>
      <c r="K93" s="96"/>
      <c r="L93" s="99"/>
      <c r="M93" s="99"/>
    </row>
    <row r="94" spans="1:13" x14ac:dyDescent="0.2">
      <c r="A94" s="30"/>
      <c r="B94" s="6"/>
      <c r="C94" s="96"/>
      <c r="D94" s="42"/>
      <c r="E94" s="97"/>
      <c r="F94" s="6"/>
      <c r="G94" s="98"/>
      <c r="H94" s="98"/>
      <c r="I94" s="98"/>
      <c r="J94" s="49"/>
      <c r="K94" s="96"/>
      <c r="L94" s="99"/>
      <c r="M94" s="99"/>
    </row>
    <row r="95" spans="1:13" x14ac:dyDescent="0.2">
      <c r="A95" s="30"/>
      <c r="B95" s="6"/>
      <c r="C95" s="96"/>
      <c r="D95" s="42"/>
      <c r="E95" s="97"/>
      <c r="F95" s="6"/>
      <c r="G95" s="98"/>
      <c r="H95" s="98"/>
      <c r="I95" s="98"/>
      <c r="J95" s="49"/>
      <c r="K95" s="96"/>
      <c r="L95" s="99"/>
      <c r="M95" s="99"/>
    </row>
    <row r="96" spans="1:13" x14ac:dyDescent="0.2">
      <c r="A96" s="30"/>
      <c r="B96" s="6"/>
      <c r="C96" s="96"/>
      <c r="D96" s="42"/>
      <c r="E96" s="97"/>
      <c r="F96" s="6"/>
      <c r="G96" s="98"/>
      <c r="H96" s="98"/>
      <c r="I96" s="98"/>
      <c r="J96" s="49"/>
      <c r="K96" s="96"/>
      <c r="L96" s="99"/>
      <c r="M96" s="99"/>
    </row>
    <row r="97" spans="1:13" x14ac:dyDescent="0.2">
      <c r="A97" s="30"/>
      <c r="B97" s="6"/>
      <c r="C97" s="96"/>
      <c r="D97" s="42"/>
      <c r="E97" s="97"/>
      <c r="F97" s="6"/>
      <c r="G97" s="98"/>
      <c r="H97" s="98"/>
      <c r="I97" s="98"/>
      <c r="J97" s="49"/>
      <c r="K97" s="96"/>
      <c r="L97" s="99"/>
      <c r="M97" s="99"/>
    </row>
    <row r="98" spans="1:13" x14ac:dyDescent="0.2">
      <c r="A98" s="30"/>
      <c r="B98" s="6"/>
      <c r="C98" s="96"/>
      <c r="D98" s="42"/>
      <c r="E98" s="97"/>
      <c r="F98" s="6"/>
      <c r="G98" s="98"/>
      <c r="H98" s="98"/>
      <c r="I98" s="98"/>
      <c r="J98" s="49"/>
      <c r="K98" s="96"/>
      <c r="L98" s="99"/>
      <c r="M98" s="99"/>
    </row>
    <row r="99" spans="1:13" x14ac:dyDescent="0.2">
      <c r="A99" s="30"/>
      <c r="B99" s="6"/>
      <c r="C99" s="96"/>
      <c r="D99" s="42"/>
      <c r="E99" s="97"/>
      <c r="F99" s="6"/>
      <c r="G99" s="98"/>
      <c r="H99" s="98"/>
      <c r="I99" s="98"/>
      <c r="J99" s="49"/>
      <c r="K99" s="96"/>
      <c r="L99" s="99"/>
      <c r="M99" s="99"/>
    </row>
    <row r="100" spans="1:13" x14ac:dyDescent="0.2">
      <c r="A100" s="30"/>
      <c r="B100" s="6"/>
      <c r="C100" s="96"/>
      <c r="D100" s="42"/>
      <c r="E100" s="97"/>
      <c r="F100" s="6"/>
      <c r="G100" s="98"/>
      <c r="H100" s="98"/>
      <c r="I100" s="98"/>
      <c r="J100" s="49"/>
      <c r="K100" s="96"/>
      <c r="L100" s="99"/>
      <c r="M100" s="99"/>
    </row>
    <row r="101" spans="1:13" x14ac:dyDescent="0.2">
      <c r="A101" s="30"/>
      <c r="B101" s="6"/>
      <c r="C101" s="96"/>
      <c r="D101" s="42"/>
      <c r="E101" s="97"/>
      <c r="F101" s="6"/>
      <c r="G101" s="98"/>
      <c r="H101" s="98"/>
      <c r="I101" s="98"/>
      <c r="J101" s="49"/>
      <c r="K101" s="96"/>
      <c r="L101" s="99"/>
      <c r="M101" s="99"/>
    </row>
    <row r="102" spans="1:13" x14ac:dyDescent="0.2">
      <c r="A102" s="30"/>
      <c r="B102" s="6"/>
      <c r="C102" s="96"/>
      <c r="D102" s="42"/>
      <c r="E102" s="97"/>
      <c r="F102" s="6"/>
      <c r="G102" s="98"/>
      <c r="H102" s="98"/>
      <c r="I102" s="98"/>
      <c r="J102" s="49"/>
      <c r="K102" s="96"/>
      <c r="L102" s="99"/>
      <c r="M102" s="99"/>
    </row>
    <row r="103" spans="1:13" x14ac:dyDescent="0.2">
      <c r="A103" s="30"/>
      <c r="B103" s="6"/>
      <c r="C103" s="96"/>
      <c r="D103" s="42"/>
      <c r="E103" s="97"/>
      <c r="F103" s="6"/>
      <c r="G103" s="98"/>
      <c r="H103" s="98"/>
      <c r="I103" s="98"/>
      <c r="J103" s="49"/>
      <c r="K103" s="96"/>
      <c r="L103" s="99"/>
      <c r="M103" s="99"/>
    </row>
    <row r="104" spans="1:13" x14ac:dyDescent="0.2">
      <c r="A104" s="30"/>
      <c r="B104" s="6"/>
      <c r="C104" s="96"/>
      <c r="D104" s="42"/>
      <c r="E104" s="97"/>
      <c r="F104" s="6"/>
      <c r="G104" s="98"/>
      <c r="H104" s="98"/>
      <c r="I104" s="98"/>
      <c r="J104" s="49"/>
      <c r="K104" s="96"/>
      <c r="L104" s="99"/>
      <c r="M104" s="99"/>
    </row>
    <row r="105" spans="1:13" x14ac:dyDescent="0.2">
      <c r="A105" s="30"/>
      <c r="B105" s="6"/>
      <c r="C105" s="96"/>
      <c r="D105" s="42"/>
      <c r="E105" s="97"/>
      <c r="F105" s="6"/>
      <c r="G105" s="98"/>
      <c r="H105" s="98"/>
      <c r="I105" s="98"/>
      <c r="J105" s="49"/>
      <c r="K105" s="96"/>
      <c r="L105" s="99"/>
      <c r="M105" s="99"/>
    </row>
    <row r="106" spans="1:13" x14ac:dyDescent="0.2">
      <c r="A106" s="30"/>
      <c r="B106" s="6"/>
      <c r="C106" s="96"/>
      <c r="D106" s="42"/>
      <c r="E106" s="97"/>
      <c r="F106" s="6"/>
      <c r="G106" s="98"/>
      <c r="H106" s="98"/>
      <c r="I106" s="98"/>
      <c r="J106" s="49"/>
      <c r="K106" s="96"/>
      <c r="L106" s="99"/>
      <c r="M106" s="99"/>
    </row>
    <row r="107" spans="1:13" x14ac:dyDescent="0.2">
      <c r="A107" s="30"/>
      <c r="B107" s="6"/>
      <c r="C107" s="96"/>
      <c r="D107" s="42"/>
      <c r="E107" s="97"/>
      <c r="F107" s="6"/>
      <c r="G107" s="98"/>
      <c r="H107" s="98"/>
      <c r="I107" s="98"/>
      <c r="J107" s="49"/>
      <c r="K107" s="96"/>
      <c r="L107" s="99"/>
      <c r="M107" s="99"/>
    </row>
    <row r="108" spans="1:13" x14ac:dyDescent="0.2">
      <c r="A108" s="30"/>
      <c r="B108" s="6"/>
      <c r="C108" s="96"/>
      <c r="D108" s="42"/>
      <c r="E108" s="97"/>
      <c r="F108" s="6"/>
      <c r="G108" s="98"/>
      <c r="H108" s="98"/>
      <c r="I108" s="98"/>
      <c r="J108" s="49"/>
      <c r="K108" s="96"/>
      <c r="L108" s="99"/>
      <c r="M108" s="99"/>
    </row>
    <row r="109" spans="1:13" x14ac:dyDescent="0.2">
      <c r="A109" s="30"/>
      <c r="B109" s="6"/>
      <c r="C109" s="96"/>
      <c r="D109" s="42"/>
      <c r="E109" s="97"/>
      <c r="F109" s="6"/>
      <c r="G109" s="98"/>
      <c r="H109" s="98"/>
      <c r="I109" s="98"/>
      <c r="J109" s="49"/>
      <c r="K109" s="96"/>
      <c r="L109" s="99"/>
      <c r="M109" s="99"/>
    </row>
    <row r="110" spans="1:13" x14ac:dyDescent="0.2">
      <c r="A110" s="30"/>
      <c r="B110" s="6"/>
      <c r="C110" s="96"/>
      <c r="D110" s="42"/>
      <c r="E110" s="97"/>
      <c r="F110" s="6"/>
      <c r="G110" s="98"/>
      <c r="H110" s="98"/>
      <c r="I110" s="98"/>
      <c r="J110" s="49"/>
      <c r="K110" s="96"/>
      <c r="L110" s="99"/>
      <c r="M110" s="99"/>
    </row>
    <row r="111" spans="1:13" x14ac:dyDescent="0.2">
      <c r="A111" s="30"/>
      <c r="B111" s="6"/>
      <c r="C111" s="96"/>
      <c r="D111" s="42"/>
      <c r="E111" s="97"/>
      <c r="F111" s="6"/>
      <c r="G111" s="98"/>
      <c r="H111" s="98"/>
      <c r="I111" s="98"/>
      <c r="J111" s="49"/>
      <c r="K111" s="96"/>
      <c r="L111" s="99"/>
      <c r="M111" s="99"/>
    </row>
    <row r="112" spans="1:13" x14ac:dyDescent="0.2">
      <c r="A112" s="30"/>
      <c r="B112" s="6"/>
      <c r="C112" s="96"/>
      <c r="D112" s="42"/>
      <c r="E112" s="97"/>
      <c r="F112" s="6"/>
      <c r="G112" s="98"/>
      <c r="H112" s="98"/>
      <c r="I112" s="98"/>
      <c r="J112" s="49"/>
      <c r="K112" s="96"/>
      <c r="L112" s="99"/>
      <c r="M112" s="99"/>
    </row>
    <row r="113" spans="1:13" x14ac:dyDescent="0.2">
      <c r="A113" s="30"/>
      <c r="B113" s="6"/>
      <c r="C113" s="96"/>
      <c r="D113" s="42"/>
      <c r="E113" s="97"/>
      <c r="F113" s="6"/>
      <c r="G113" s="98"/>
      <c r="H113" s="98"/>
      <c r="I113" s="98"/>
      <c r="J113" s="49"/>
      <c r="K113" s="96"/>
      <c r="L113" s="99"/>
      <c r="M113" s="99"/>
    </row>
    <row r="114" spans="1:13" x14ac:dyDescent="0.2">
      <c r="A114" s="30"/>
      <c r="B114" s="6"/>
      <c r="C114" s="96"/>
      <c r="D114" s="42"/>
      <c r="E114" s="97"/>
      <c r="F114" s="6"/>
      <c r="G114" s="98"/>
      <c r="H114" s="98"/>
      <c r="I114" s="98"/>
      <c r="J114" s="49"/>
      <c r="K114" s="96"/>
      <c r="L114" s="99"/>
      <c r="M114" s="99"/>
    </row>
    <row r="115" spans="1:13" x14ac:dyDescent="0.2">
      <c r="A115" s="30"/>
      <c r="B115" s="6"/>
      <c r="C115" s="96"/>
      <c r="D115" s="42"/>
      <c r="E115" s="97"/>
      <c r="F115" s="6"/>
      <c r="G115" s="98"/>
      <c r="H115" s="98"/>
      <c r="I115" s="98"/>
      <c r="J115" s="49"/>
      <c r="K115" s="96"/>
      <c r="L115" s="99"/>
      <c r="M115" s="99"/>
    </row>
    <row r="116" spans="1:13" x14ac:dyDescent="0.2">
      <c r="A116" s="30"/>
      <c r="B116" s="6"/>
      <c r="C116" s="96"/>
      <c r="D116" s="42"/>
      <c r="E116" s="97"/>
      <c r="F116" s="6"/>
      <c r="G116" s="98"/>
      <c r="H116" s="98"/>
      <c r="I116" s="98"/>
      <c r="J116" s="49"/>
      <c r="K116" s="96"/>
      <c r="L116" s="99"/>
      <c r="M116" s="99"/>
    </row>
    <row r="117" spans="1:13" x14ac:dyDescent="0.2">
      <c r="A117" s="30"/>
      <c r="B117" s="6"/>
      <c r="C117" s="96"/>
      <c r="D117" s="42"/>
      <c r="E117" s="97"/>
      <c r="F117" s="6"/>
      <c r="G117" s="98"/>
      <c r="H117" s="98"/>
      <c r="I117" s="98"/>
      <c r="J117" s="49"/>
      <c r="K117" s="96"/>
      <c r="L117" s="99"/>
      <c r="M117" s="99"/>
    </row>
    <row r="118" spans="1:13" x14ac:dyDescent="0.2">
      <c r="A118" s="30"/>
      <c r="B118" s="6"/>
      <c r="C118" s="96"/>
      <c r="D118" s="42"/>
      <c r="E118" s="97"/>
      <c r="F118" s="6"/>
      <c r="G118" s="98"/>
      <c r="H118" s="98"/>
      <c r="I118" s="98"/>
      <c r="J118" s="49"/>
      <c r="K118" s="96"/>
      <c r="L118" s="99"/>
      <c r="M118" s="99"/>
    </row>
    <row r="119" spans="1:13" x14ac:dyDescent="0.2">
      <c r="A119" s="30"/>
      <c r="B119" s="6"/>
      <c r="C119" s="96"/>
      <c r="D119" s="42"/>
      <c r="E119" s="97"/>
      <c r="F119" s="6"/>
      <c r="G119" s="98"/>
      <c r="H119" s="98"/>
      <c r="I119" s="98"/>
      <c r="J119" s="49"/>
      <c r="K119" s="96"/>
      <c r="L119" s="99"/>
      <c r="M119" s="99"/>
    </row>
    <row r="120" spans="1:13" x14ac:dyDescent="0.2">
      <c r="A120" s="30"/>
      <c r="B120" s="6"/>
      <c r="C120" s="96"/>
      <c r="D120" s="42"/>
      <c r="E120" s="97"/>
      <c r="F120" s="6"/>
      <c r="G120" s="98"/>
      <c r="H120" s="98"/>
      <c r="I120" s="98"/>
      <c r="J120" s="49"/>
      <c r="K120" s="96"/>
      <c r="L120" s="99"/>
      <c r="M120" s="99"/>
    </row>
    <row r="121" spans="1:13" x14ac:dyDescent="0.2">
      <c r="A121" s="30"/>
      <c r="B121" s="6"/>
      <c r="C121" s="96"/>
      <c r="D121" s="42"/>
      <c r="E121" s="97"/>
      <c r="F121" s="6"/>
      <c r="G121" s="98"/>
      <c r="H121" s="98"/>
      <c r="I121" s="98"/>
      <c r="J121" s="49"/>
      <c r="K121" s="96"/>
      <c r="L121" s="99"/>
      <c r="M121" s="99"/>
    </row>
    <row r="122" spans="1:13" x14ac:dyDescent="0.2">
      <c r="A122" s="30"/>
      <c r="B122" s="6"/>
      <c r="C122" s="96"/>
      <c r="D122" s="42"/>
      <c r="E122" s="97"/>
      <c r="F122" s="6"/>
      <c r="G122" s="98"/>
      <c r="H122" s="98"/>
      <c r="I122" s="98"/>
      <c r="J122" s="49"/>
      <c r="K122" s="96"/>
      <c r="L122" s="99"/>
      <c r="M122" s="99"/>
    </row>
    <row r="123" spans="1:13" x14ac:dyDescent="0.2">
      <c r="A123" s="30"/>
      <c r="B123" s="6"/>
      <c r="C123" s="96"/>
      <c r="D123" s="42"/>
      <c r="E123" s="97"/>
      <c r="F123" s="6"/>
      <c r="G123" s="98"/>
      <c r="H123" s="98"/>
      <c r="I123" s="98"/>
      <c r="J123" s="49"/>
      <c r="K123" s="96"/>
      <c r="L123" s="99"/>
      <c r="M123" s="99"/>
    </row>
    <row r="124" spans="1:13" x14ac:dyDescent="0.2">
      <c r="A124" s="30"/>
      <c r="B124" s="6"/>
      <c r="C124" s="96"/>
      <c r="D124" s="42"/>
      <c r="E124" s="97"/>
      <c r="F124" s="6"/>
      <c r="G124" s="98"/>
      <c r="H124" s="98"/>
      <c r="I124" s="98"/>
      <c r="J124" s="49"/>
      <c r="K124" s="96"/>
      <c r="L124" s="99"/>
      <c r="M124" s="99"/>
    </row>
    <row r="125" spans="1:13" x14ac:dyDescent="0.2">
      <c r="A125" s="30"/>
      <c r="B125" s="6"/>
      <c r="C125" s="96"/>
      <c r="D125" s="42"/>
      <c r="E125" s="97"/>
      <c r="F125" s="6"/>
      <c r="G125" s="98"/>
      <c r="H125" s="98"/>
      <c r="I125" s="98"/>
      <c r="J125" s="49"/>
      <c r="K125" s="96"/>
      <c r="L125" s="99"/>
      <c r="M125" s="99"/>
    </row>
    <row r="126" spans="1:13" x14ac:dyDescent="0.2">
      <c r="A126" s="30"/>
      <c r="B126" s="6"/>
      <c r="C126" s="96"/>
      <c r="D126" s="42"/>
      <c r="E126" s="97"/>
      <c r="F126" s="6"/>
      <c r="G126" s="98"/>
      <c r="H126" s="98"/>
      <c r="I126" s="98"/>
      <c r="J126" s="49"/>
      <c r="K126" s="96"/>
      <c r="L126" s="99"/>
      <c r="M126" s="99"/>
    </row>
    <row r="127" spans="1:13" x14ac:dyDescent="0.2">
      <c r="A127" s="30"/>
      <c r="B127" s="6"/>
      <c r="C127" s="96"/>
      <c r="D127" s="42"/>
      <c r="E127" s="97"/>
      <c r="F127" s="6"/>
      <c r="G127" s="98"/>
      <c r="H127" s="98"/>
      <c r="I127" s="98"/>
      <c r="J127" s="49"/>
      <c r="K127" s="96"/>
      <c r="L127" s="99"/>
      <c r="M127" s="99"/>
    </row>
    <row r="128" spans="1:13" x14ac:dyDescent="0.2">
      <c r="A128" s="30"/>
      <c r="B128" s="6"/>
      <c r="C128" s="96"/>
      <c r="D128" s="42"/>
      <c r="E128" s="97"/>
      <c r="F128" s="6"/>
      <c r="G128" s="98"/>
      <c r="H128" s="98"/>
      <c r="I128" s="98"/>
      <c r="J128" s="49"/>
      <c r="K128" s="96"/>
      <c r="L128" s="99"/>
      <c r="M128" s="99"/>
    </row>
    <row r="129" spans="1:13" x14ac:dyDescent="0.2">
      <c r="A129" s="30"/>
      <c r="B129" s="6"/>
      <c r="C129" s="96"/>
      <c r="D129" s="42"/>
      <c r="E129" s="97"/>
      <c r="F129" s="6"/>
      <c r="G129" s="98"/>
      <c r="H129" s="98"/>
      <c r="I129" s="98"/>
      <c r="J129" s="49"/>
      <c r="K129" s="96"/>
      <c r="L129" s="99"/>
      <c r="M129" s="99"/>
    </row>
    <row r="130" spans="1:13" x14ac:dyDescent="0.2">
      <c r="A130" s="30"/>
      <c r="B130" s="6"/>
      <c r="C130" s="96"/>
      <c r="D130" s="42"/>
      <c r="E130" s="97"/>
      <c r="F130" s="6"/>
      <c r="G130" s="98"/>
      <c r="H130" s="98"/>
      <c r="I130" s="98"/>
      <c r="J130" s="49"/>
      <c r="K130" s="96"/>
      <c r="L130" s="99"/>
      <c r="M130" s="99"/>
    </row>
    <row r="131" spans="1:13" x14ac:dyDescent="0.2">
      <c r="A131" s="30"/>
      <c r="B131" s="6"/>
      <c r="C131" s="96"/>
      <c r="D131" s="42"/>
      <c r="E131" s="97"/>
      <c r="F131" s="6"/>
      <c r="G131" s="98"/>
      <c r="H131" s="98"/>
      <c r="I131" s="98"/>
      <c r="J131" s="49"/>
      <c r="K131" s="96"/>
      <c r="L131" s="99"/>
      <c r="M131" s="99"/>
    </row>
    <row r="132" spans="1:13" x14ac:dyDescent="0.2">
      <c r="A132" s="30"/>
      <c r="B132" s="6"/>
      <c r="C132" s="96"/>
      <c r="D132" s="42"/>
      <c r="E132" s="97"/>
      <c r="F132" s="6"/>
      <c r="G132" s="98"/>
      <c r="H132" s="98"/>
      <c r="I132" s="98"/>
      <c r="J132" s="49"/>
      <c r="K132" s="96"/>
      <c r="L132" s="99"/>
      <c r="M132" s="99"/>
    </row>
    <row r="133" spans="1:13" x14ac:dyDescent="0.2">
      <c r="A133" s="30"/>
      <c r="B133" s="6"/>
      <c r="C133" s="96"/>
      <c r="D133" s="42"/>
      <c r="E133" s="97"/>
      <c r="F133" s="6"/>
      <c r="G133" s="98"/>
      <c r="H133" s="98"/>
      <c r="I133" s="98"/>
      <c r="J133" s="49"/>
      <c r="K133" s="96"/>
      <c r="L133" s="99"/>
      <c r="M133" s="99"/>
    </row>
    <row r="134" spans="1:13" x14ac:dyDescent="0.2">
      <c r="A134" s="30"/>
      <c r="B134" s="6"/>
      <c r="C134" s="96"/>
      <c r="D134" s="42"/>
      <c r="E134" s="97"/>
      <c r="F134" s="6"/>
      <c r="G134" s="98"/>
      <c r="H134" s="98"/>
      <c r="I134" s="98"/>
      <c r="J134" s="49"/>
      <c r="K134" s="96"/>
      <c r="L134" s="99"/>
      <c r="M134" s="99"/>
    </row>
  </sheetData>
  <mergeCells count="4">
    <mergeCell ref="E1:E2"/>
    <mergeCell ref="D1:D2"/>
    <mergeCell ref="A43:L43"/>
    <mergeCell ref="A41:Q41"/>
  </mergeCells>
  <phoneticPr fontId="1"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1B57B2BB-8446-9E43-82E1-7164913933B9}">
          <x14:formula1>
            <xm:f>Dropdowns!$I$2:$I$15</xm:f>
          </x14:formula1>
          <xm:sqref>F40 F49:F134 G44:I45 F4:F38</xm:sqref>
        </x14:dataValidation>
        <x14:dataValidation type="list" allowBlank="1" showInputMessage="1" showErrorMessage="1" xr:uid="{3AA881C6-18C7-504A-8276-7B079A6A4BC2}">
          <x14:formula1>
            <xm:f>Dropdowns!$C$2:$C$7</xm:f>
          </x14:formula1>
          <xm:sqref>B40 B44:B45 B49:B134 B4:B38</xm:sqref>
        </x14:dataValidation>
        <x14:dataValidation type="list" allowBlank="1" showInputMessage="1" showErrorMessage="1" xr:uid="{0AD03373-D580-EC4E-BE2A-D9ECD5C42AE8}">
          <x14:formula1>
            <xm:f>Dropdowns!$K$2:$K$4</xm:f>
          </x14:formula1>
          <xm:sqref>J40 K44:K45 J49:J134</xm:sqref>
        </x14:dataValidation>
        <x14:dataValidation type="list" allowBlank="1" showInputMessage="1" showErrorMessage="1" xr:uid="{60FDDD6E-8D5D-E747-88A8-963F3DDF2C0F}">
          <x14:formula1>
            <xm:f>Dropdowns!$K$2:$K$5</xm:f>
          </x14:formula1>
          <xm:sqref>J4:J38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6FB1-DE9A-D742-9BEC-113E33C2C568}">
  <dimension ref="A1:O136"/>
  <sheetViews>
    <sheetView showGridLines="0" zoomScale="120" zoomScaleNormal="120" workbookViewId="0">
      <pane xSplit="1" ySplit="3" topLeftCell="B4" activePane="bottomRight" state="frozen"/>
      <selection pane="topRight" activeCell="B1" sqref="B1"/>
      <selection pane="bottomLeft" activeCell="A4" sqref="A4"/>
      <selection pane="bottomRight" activeCell="I4" sqref="I4"/>
    </sheetView>
  </sheetViews>
  <sheetFormatPr baseColWidth="10" defaultRowHeight="15" x14ac:dyDescent="0.2"/>
  <cols>
    <col min="1" max="1" width="11.1640625" customWidth="1"/>
    <col min="2" max="2" width="20.1640625" bestFit="1" customWidth="1"/>
    <col min="3" max="3" width="24.33203125" customWidth="1"/>
    <col min="4" max="4" width="12.6640625" bestFit="1" customWidth="1"/>
    <col min="5" max="5" width="14.1640625" bestFit="1" customWidth="1"/>
    <col min="7" max="8" width="30.6640625" customWidth="1"/>
    <col min="9" max="9" width="16" customWidth="1"/>
    <col min="10" max="10" width="51.83203125" customWidth="1"/>
    <col min="11" max="11" width="23.6640625" bestFit="1" customWidth="1"/>
    <col min="12" max="12" width="26.1640625" bestFit="1" customWidth="1"/>
  </cols>
  <sheetData>
    <row r="1" spans="1:15" x14ac:dyDescent="0.2">
      <c r="D1" s="234" t="s">
        <v>61</v>
      </c>
      <c r="E1" s="232">
        <v>17.61</v>
      </c>
    </row>
    <row r="2" spans="1:15" ht="16" thickBot="1" x14ac:dyDescent="0.25">
      <c r="D2" s="235"/>
      <c r="E2" s="233"/>
    </row>
    <row r="3" spans="1:15" ht="16" x14ac:dyDescent="0.2">
      <c r="A3" t="s">
        <v>104</v>
      </c>
      <c r="B3" s="105" t="s">
        <v>467</v>
      </c>
      <c r="C3" s="106" t="s">
        <v>469</v>
      </c>
      <c r="D3" s="44" t="s">
        <v>176</v>
      </c>
      <c r="E3" s="44" t="s">
        <v>38</v>
      </c>
      <c r="F3" s="44" t="s">
        <v>95</v>
      </c>
      <c r="G3" s="107" t="s">
        <v>350</v>
      </c>
      <c r="H3" s="107" t="s">
        <v>466</v>
      </c>
      <c r="I3" s="108" t="s">
        <v>470</v>
      </c>
      <c r="J3" s="109" t="s">
        <v>472</v>
      </c>
      <c r="K3" s="45" t="s">
        <v>496</v>
      </c>
      <c r="L3" s="45" t="s">
        <v>497</v>
      </c>
    </row>
    <row r="4" spans="1:15" ht="96" x14ac:dyDescent="0.2">
      <c r="A4" s="65" t="s">
        <v>190</v>
      </c>
      <c r="B4" s="65" t="s">
        <v>72</v>
      </c>
      <c r="C4" s="63" t="s">
        <v>32</v>
      </c>
      <c r="D4" s="68">
        <v>2280000</v>
      </c>
      <c r="E4" s="79">
        <f>Table8101213141516[[#This Row],[Total US$ ]]*$E$1</f>
        <v>40150800</v>
      </c>
      <c r="F4" s="65" t="s">
        <v>100</v>
      </c>
      <c r="G4" s="76" t="s">
        <v>374</v>
      </c>
      <c r="H4" s="76"/>
      <c r="I4" s="84" t="s">
        <v>495</v>
      </c>
      <c r="J4" s="63" t="s">
        <v>338</v>
      </c>
      <c r="K4" s="86">
        <v>44501</v>
      </c>
      <c r="L4" s="86">
        <v>44561</v>
      </c>
    </row>
    <row r="5" spans="1:15" ht="16" x14ac:dyDescent="0.2">
      <c r="A5" s="65" t="s">
        <v>191</v>
      </c>
      <c r="B5" s="65" t="s">
        <v>73</v>
      </c>
      <c r="C5" s="63"/>
      <c r="D5" s="66">
        <v>47720000</v>
      </c>
      <c r="E5" s="79">
        <f>Table8101213141516[[#This Row],[Total US$ ]]*$E$1</f>
        <v>840349200</v>
      </c>
      <c r="F5" s="65" t="s">
        <v>100</v>
      </c>
      <c r="G5" s="76"/>
      <c r="H5" s="76"/>
      <c r="I5" s="84" t="s">
        <v>251</v>
      </c>
      <c r="J5" s="63"/>
      <c r="K5" s="85">
        <v>44927</v>
      </c>
      <c r="L5" s="85">
        <v>46752</v>
      </c>
    </row>
    <row r="6" spans="1:15" x14ac:dyDescent="0.2">
      <c r="A6" s="65"/>
      <c r="B6" s="65"/>
      <c r="C6" s="62"/>
      <c r="D6" s="66">
        <f>SUBTOTAL(109,Table8101213141516[Total US$ ])</f>
        <v>50000000</v>
      </c>
      <c r="E6" s="79">
        <f>SUBTOTAL(109,Table8101213141516[Total ZAR])</f>
        <v>880500000</v>
      </c>
      <c r="F6" s="6"/>
      <c r="G6" s="46"/>
      <c r="H6" s="46"/>
      <c r="I6" s="48"/>
      <c r="J6" s="24"/>
      <c r="K6" s="47"/>
      <c r="L6" s="47"/>
    </row>
    <row r="7" spans="1:15" x14ac:dyDescent="0.2">
      <c r="A7" s="30"/>
      <c r="B7" s="22"/>
      <c r="C7" s="12"/>
      <c r="D7" s="25"/>
      <c r="E7" s="27"/>
      <c r="F7" s="6"/>
      <c r="G7" s="7"/>
      <c r="H7" s="7"/>
      <c r="I7" s="23"/>
      <c r="J7" s="7"/>
      <c r="K7" s="14"/>
      <c r="L7" s="14"/>
    </row>
    <row r="8" spans="1:15" ht="33" customHeight="1" x14ac:dyDescent="0.2">
      <c r="A8" s="230" t="s">
        <v>676</v>
      </c>
      <c r="B8" s="230"/>
      <c r="C8" s="230"/>
      <c r="D8" s="230"/>
      <c r="E8" s="230"/>
      <c r="F8" s="230"/>
      <c r="G8" s="230"/>
      <c r="H8" s="230"/>
      <c r="I8" s="230"/>
      <c r="J8" s="230"/>
      <c r="K8" s="230"/>
      <c r="L8" s="230"/>
      <c r="M8" s="230"/>
      <c r="N8" s="230"/>
      <c r="O8" s="230"/>
    </row>
    <row r="9" spans="1:15" x14ac:dyDescent="0.2">
      <c r="B9" s="1"/>
      <c r="E9" s="1"/>
      <c r="F9" s="1"/>
      <c r="G9" s="8"/>
      <c r="H9" s="8"/>
      <c r="I9" s="1"/>
      <c r="J9" s="3"/>
      <c r="L9" s="17"/>
      <c r="M9" s="19"/>
      <c r="N9" s="19"/>
    </row>
    <row r="10" spans="1:15" ht="15" customHeight="1" x14ac:dyDescent="0.2">
      <c r="A10" s="230" t="s">
        <v>561</v>
      </c>
      <c r="B10" s="230"/>
      <c r="C10" s="230"/>
      <c r="D10" s="230"/>
      <c r="E10" s="230"/>
      <c r="F10" s="230"/>
      <c r="G10" s="230"/>
      <c r="H10" s="230"/>
      <c r="I10" s="230"/>
      <c r="J10" s="230"/>
      <c r="K10" s="230"/>
      <c r="L10" s="17"/>
      <c r="M10" s="19"/>
      <c r="N10" s="19"/>
    </row>
    <row r="11" spans="1:15" x14ac:dyDescent="0.2">
      <c r="A11" s="30"/>
      <c r="B11" s="6"/>
      <c r="C11" s="13"/>
      <c r="D11" s="26"/>
      <c r="E11" s="27"/>
      <c r="F11" s="6"/>
      <c r="G11" s="15"/>
      <c r="H11" s="15"/>
      <c r="I11" s="23"/>
      <c r="J11" s="15"/>
      <c r="K11" s="16"/>
      <c r="L11" s="16"/>
    </row>
    <row r="12" spans="1:15" x14ac:dyDescent="0.2">
      <c r="A12" s="2" t="s">
        <v>502</v>
      </c>
      <c r="B12" s="6"/>
      <c r="C12" s="13"/>
      <c r="D12" s="26"/>
      <c r="E12" s="27"/>
      <c r="F12" s="6"/>
      <c r="G12" s="15"/>
      <c r="H12" s="15"/>
      <c r="I12" s="23"/>
      <c r="J12" s="15"/>
      <c r="K12" s="16"/>
      <c r="L12" s="16"/>
    </row>
    <row r="13" spans="1:15" x14ac:dyDescent="0.2">
      <c r="A13" s="30"/>
      <c r="B13" s="22"/>
      <c r="C13" s="13"/>
      <c r="D13" s="26"/>
      <c r="E13" s="27"/>
      <c r="F13" s="5"/>
      <c r="G13" s="15"/>
      <c r="H13" s="15"/>
      <c r="I13" s="23"/>
      <c r="J13" s="15"/>
      <c r="K13" s="16"/>
      <c r="L13" s="16"/>
    </row>
    <row r="14" spans="1:15" x14ac:dyDescent="0.2">
      <c r="A14" s="30"/>
      <c r="B14" s="22"/>
      <c r="C14" s="12"/>
      <c r="D14" s="25"/>
      <c r="E14" s="27"/>
      <c r="F14" s="5"/>
      <c r="G14" s="7"/>
      <c r="H14" s="7"/>
      <c r="I14" s="23"/>
      <c r="J14" s="7"/>
      <c r="K14" s="16"/>
      <c r="L14" s="14"/>
    </row>
    <row r="15" spans="1:15" x14ac:dyDescent="0.2">
      <c r="A15" s="30"/>
      <c r="B15" s="22"/>
      <c r="C15" s="12"/>
      <c r="D15" s="25"/>
      <c r="E15" s="27"/>
      <c r="F15" s="5"/>
      <c r="G15" s="7"/>
      <c r="H15" s="7"/>
      <c r="I15" s="23"/>
      <c r="J15" s="12"/>
      <c r="K15" s="16"/>
      <c r="L15" s="14"/>
    </row>
    <row r="16" spans="1:15" x14ac:dyDescent="0.2">
      <c r="A16" s="30"/>
      <c r="B16" s="22"/>
      <c r="C16" s="12"/>
      <c r="D16" s="25"/>
      <c r="E16" s="27"/>
      <c r="F16" s="6"/>
      <c r="G16" s="7"/>
      <c r="H16" s="7"/>
      <c r="I16" s="23"/>
      <c r="J16" s="12"/>
      <c r="K16" s="14"/>
      <c r="L16" s="14"/>
    </row>
    <row r="17" spans="1:12" x14ac:dyDescent="0.2">
      <c r="A17" s="30"/>
      <c r="B17" s="22"/>
      <c r="C17" s="12"/>
      <c r="D17" s="25"/>
      <c r="E17" s="27"/>
      <c r="F17" s="6"/>
      <c r="G17" s="7"/>
      <c r="H17" s="7"/>
      <c r="I17" s="23"/>
      <c r="J17" s="12"/>
      <c r="K17" s="14"/>
      <c r="L17" s="14"/>
    </row>
    <row r="18" spans="1:12" x14ac:dyDescent="0.2">
      <c r="A18" s="30"/>
      <c r="B18" s="22"/>
      <c r="C18" s="12"/>
      <c r="D18" s="25"/>
      <c r="E18" s="27"/>
      <c r="F18" s="6"/>
      <c r="G18" s="7"/>
      <c r="H18" s="7"/>
      <c r="I18" s="23"/>
      <c r="J18" s="12"/>
      <c r="K18" s="14"/>
      <c r="L18" s="14"/>
    </row>
    <row r="19" spans="1:12" x14ac:dyDescent="0.2">
      <c r="A19" s="30"/>
      <c r="B19" s="22"/>
      <c r="C19" s="12"/>
      <c r="D19" s="25"/>
      <c r="E19" s="27"/>
      <c r="F19" s="6"/>
      <c r="G19" s="7"/>
      <c r="H19" s="7"/>
      <c r="I19" s="23"/>
      <c r="J19" s="7"/>
      <c r="K19" s="14"/>
      <c r="L19" s="14"/>
    </row>
    <row r="20" spans="1:12" x14ac:dyDescent="0.2">
      <c r="A20" s="30"/>
      <c r="B20" s="22"/>
      <c r="C20" s="12"/>
      <c r="D20" s="25"/>
      <c r="E20" s="27"/>
      <c r="F20" s="6"/>
      <c r="G20" s="7"/>
      <c r="H20" s="7"/>
      <c r="I20" s="23"/>
      <c r="J20" s="7"/>
      <c r="K20" s="14"/>
      <c r="L20" s="14"/>
    </row>
    <row r="21" spans="1:12" x14ac:dyDescent="0.2">
      <c r="A21" s="30"/>
      <c r="B21" s="22"/>
      <c r="C21" s="12"/>
      <c r="D21" s="25"/>
      <c r="E21" s="27"/>
      <c r="F21" s="6"/>
      <c r="G21" s="7"/>
      <c r="H21" s="7"/>
      <c r="I21" s="23"/>
      <c r="J21" s="12"/>
      <c r="K21" s="16"/>
      <c r="L21" s="14"/>
    </row>
    <row r="22" spans="1:12" x14ac:dyDescent="0.2">
      <c r="A22" s="30"/>
      <c r="B22" s="22"/>
      <c r="C22" s="12"/>
      <c r="D22" s="25"/>
      <c r="E22" s="27"/>
      <c r="F22" s="6"/>
      <c r="G22" s="7"/>
      <c r="H22" s="7"/>
      <c r="I22" s="23"/>
      <c r="J22" s="7"/>
      <c r="K22" s="14"/>
      <c r="L22" s="14"/>
    </row>
    <row r="23" spans="1:12" x14ac:dyDescent="0.2">
      <c r="A23" s="30"/>
      <c r="B23" s="34"/>
      <c r="C23" s="34"/>
      <c r="D23" s="40"/>
      <c r="E23" s="27"/>
      <c r="F23" s="5"/>
      <c r="G23" s="36"/>
      <c r="H23" s="36"/>
      <c r="I23" s="38"/>
      <c r="J23" s="36"/>
      <c r="K23" s="41"/>
      <c r="L23" s="41"/>
    </row>
    <row r="24" spans="1:12" x14ac:dyDescent="0.2">
      <c r="A24" s="30"/>
      <c r="B24" s="30"/>
      <c r="C24" s="6"/>
      <c r="D24" s="42"/>
      <c r="E24" s="27"/>
      <c r="F24" s="5"/>
      <c r="G24" s="31"/>
      <c r="H24" s="31"/>
      <c r="I24" s="23"/>
      <c r="J24" s="31"/>
      <c r="K24" s="33"/>
      <c r="L24" s="33"/>
    </row>
    <row r="25" spans="1:12" x14ac:dyDescent="0.2">
      <c r="A25" s="30"/>
      <c r="B25" s="34"/>
      <c r="C25" s="5"/>
      <c r="D25" s="40"/>
      <c r="E25" s="27"/>
      <c r="F25" s="5"/>
      <c r="G25" s="36"/>
      <c r="H25" s="36"/>
      <c r="I25" s="38"/>
      <c r="J25" s="36"/>
      <c r="K25" s="41"/>
      <c r="L25" s="41"/>
    </row>
    <row r="26" spans="1:12" x14ac:dyDescent="0.2">
      <c r="A26" s="30"/>
      <c r="B26" s="34"/>
      <c r="C26" s="35"/>
      <c r="D26" s="40"/>
      <c r="E26" s="27"/>
      <c r="F26" s="5"/>
      <c r="G26" s="36"/>
      <c r="H26" s="36"/>
      <c r="I26" s="38"/>
      <c r="J26" s="36"/>
      <c r="K26" s="41"/>
      <c r="L26" s="41"/>
    </row>
    <row r="27" spans="1:12" x14ac:dyDescent="0.2">
      <c r="A27" s="30"/>
      <c r="B27" s="30"/>
      <c r="C27" s="29"/>
      <c r="D27" s="42"/>
      <c r="E27" s="27"/>
      <c r="F27" s="6"/>
      <c r="G27" s="31"/>
      <c r="H27" s="31"/>
      <c r="I27" s="23"/>
      <c r="J27" s="31"/>
      <c r="K27" s="33"/>
      <c r="L27" s="33"/>
    </row>
    <row r="28" spans="1:12" x14ac:dyDescent="0.2">
      <c r="A28" s="30"/>
      <c r="B28" s="34"/>
      <c r="C28" s="35"/>
      <c r="D28" s="34"/>
      <c r="E28" s="27"/>
      <c r="F28" s="5"/>
      <c r="G28" s="36"/>
      <c r="H28" s="36"/>
      <c r="I28" s="38"/>
      <c r="J28" s="36"/>
      <c r="K28" s="41"/>
      <c r="L28" s="41"/>
    </row>
    <row r="29" spans="1:12" x14ac:dyDescent="0.2">
      <c r="A29" s="30"/>
      <c r="B29" s="34"/>
      <c r="C29" s="35"/>
      <c r="D29" s="34"/>
      <c r="E29" s="27"/>
      <c r="F29" s="5"/>
      <c r="G29" s="36"/>
      <c r="H29" s="36"/>
      <c r="I29" s="38"/>
      <c r="J29" s="36"/>
      <c r="K29" s="41"/>
      <c r="L29" s="41"/>
    </row>
    <row r="30" spans="1:12" x14ac:dyDescent="0.2">
      <c r="A30" s="30"/>
      <c r="B30" s="30"/>
      <c r="C30" s="35"/>
      <c r="D30" s="42"/>
      <c r="E30" s="27"/>
      <c r="F30" s="6"/>
      <c r="G30" s="31"/>
      <c r="H30" s="31"/>
      <c r="I30" s="23"/>
      <c r="J30" s="31"/>
      <c r="K30" s="33"/>
      <c r="L30" s="33"/>
    </row>
    <row r="31" spans="1:12" x14ac:dyDescent="0.2">
      <c r="A31" s="30"/>
      <c r="B31" s="30"/>
      <c r="C31" s="29"/>
      <c r="D31" s="42"/>
      <c r="E31" s="27"/>
      <c r="F31" s="6"/>
      <c r="G31" s="31"/>
      <c r="H31" s="31"/>
      <c r="I31" s="23"/>
      <c r="J31" s="31"/>
      <c r="K31" s="33"/>
      <c r="L31" s="33"/>
    </row>
    <row r="32" spans="1:12" x14ac:dyDescent="0.2">
      <c r="A32" s="30"/>
      <c r="B32" s="34"/>
      <c r="C32" s="35"/>
      <c r="D32" s="34"/>
      <c r="E32" s="27"/>
      <c r="F32" s="6"/>
      <c r="G32" s="36"/>
      <c r="H32" s="36"/>
      <c r="I32" s="37"/>
      <c r="J32" s="36"/>
      <c r="K32" s="41"/>
      <c r="L32" s="41"/>
    </row>
    <row r="33" spans="1:12" x14ac:dyDescent="0.2">
      <c r="A33" s="30"/>
      <c r="B33" s="30"/>
      <c r="C33" s="29"/>
      <c r="D33" s="42"/>
      <c r="E33" s="27"/>
      <c r="F33" s="6"/>
      <c r="G33" s="31"/>
      <c r="H33" s="31"/>
      <c r="I33" s="23"/>
      <c r="J33" s="31"/>
      <c r="K33" s="33"/>
      <c r="L33" s="33"/>
    </row>
    <row r="34" spans="1:12" x14ac:dyDescent="0.2">
      <c r="A34" s="30"/>
      <c r="B34" s="6"/>
      <c r="C34" s="17"/>
      <c r="D34" s="28"/>
      <c r="E34" s="27"/>
      <c r="F34" s="6"/>
      <c r="G34" s="18"/>
      <c r="H34" s="18"/>
      <c r="I34" s="49"/>
      <c r="J34" s="17"/>
      <c r="K34" s="19"/>
      <c r="L34" s="19"/>
    </row>
    <row r="35" spans="1:12" x14ac:dyDescent="0.2">
      <c r="A35" s="30"/>
      <c r="B35" s="6"/>
      <c r="C35" s="17"/>
      <c r="D35" s="28"/>
      <c r="E35" s="27"/>
      <c r="F35" s="6"/>
      <c r="G35" s="18"/>
      <c r="H35" s="18"/>
      <c r="I35" s="49"/>
      <c r="J35" s="17"/>
      <c r="K35" s="19"/>
      <c r="L35" s="19"/>
    </row>
    <row r="36" spans="1:12" x14ac:dyDescent="0.2">
      <c r="A36" s="30"/>
      <c r="B36" s="6"/>
      <c r="C36" s="17"/>
      <c r="D36" s="28"/>
      <c r="E36" s="27"/>
      <c r="F36" s="6"/>
      <c r="G36" s="18"/>
      <c r="H36" s="18"/>
      <c r="I36" s="49"/>
      <c r="J36" s="17"/>
      <c r="K36" s="19"/>
      <c r="L36" s="19"/>
    </row>
    <row r="37" spans="1:12" x14ac:dyDescent="0.2">
      <c r="A37" s="30"/>
      <c r="B37" s="6"/>
      <c r="C37" s="17"/>
      <c r="D37" s="28"/>
      <c r="E37" s="27"/>
      <c r="F37" s="6"/>
      <c r="G37" s="18"/>
      <c r="H37" s="18"/>
      <c r="I37" s="49"/>
      <c r="J37" s="17"/>
      <c r="K37" s="19"/>
      <c r="L37" s="19"/>
    </row>
    <row r="38" spans="1:12" x14ac:dyDescent="0.2">
      <c r="A38" s="30"/>
      <c r="B38" s="6"/>
      <c r="C38" s="17"/>
      <c r="D38" s="28"/>
      <c r="E38" s="27"/>
      <c r="F38" s="6"/>
      <c r="G38" s="18"/>
      <c r="H38" s="18"/>
      <c r="I38" s="49"/>
      <c r="J38" s="17"/>
      <c r="K38" s="19"/>
      <c r="L38" s="19"/>
    </row>
    <row r="39" spans="1:12" x14ac:dyDescent="0.2">
      <c r="A39" s="30"/>
      <c r="B39" s="6"/>
      <c r="C39" s="17"/>
      <c r="D39" s="28"/>
      <c r="E39" s="27"/>
      <c r="F39" s="6"/>
      <c r="G39" s="18"/>
      <c r="H39" s="18"/>
      <c r="I39" s="49"/>
      <c r="J39" s="17"/>
      <c r="K39" s="19"/>
      <c r="L39" s="19"/>
    </row>
    <row r="40" spans="1:12" x14ac:dyDescent="0.2">
      <c r="A40" s="30"/>
      <c r="B40" s="6"/>
      <c r="C40" s="17"/>
      <c r="D40" s="28"/>
      <c r="E40" s="27"/>
      <c r="F40" s="6"/>
      <c r="G40" s="18"/>
      <c r="H40" s="18"/>
      <c r="I40" s="49"/>
      <c r="J40" s="17"/>
      <c r="K40" s="19"/>
      <c r="L40" s="19"/>
    </row>
    <row r="41" spans="1:12" x14ac:dyDescent="0.2">
      <c r="A41" s="30"/>
      <c r="B41" s="6"/>
      <c r="C41" s="17"/>
      <c r="D41" s="28"/>
      <c r="E41" s="27"/>
      <c r="F41" s="6"/>
      <c r="G41" s="18"/>
      <c r="H41" s="18"/>
      <c r="I41" s="49"/>
      <c r="J41" s="17"/>
      <c r="K41" s="19"/>
      <c r="L41" s="19"/>
    </row>
    <row r="42" spans="1:12" x14ac:dyDescent="0.2">
      <c r="A42" s="30"/>
      <c r="B42" s="6"/>
      <c r="C42" s="17"/>
      <c r="D42" s="28"/>
      <c r="E42" s="27"/>
      <c r="F42" s="6"/>
      <c r="G42" s="18"/>
      <c r="H42" s="18"/>
      <c r="I42" s="49"/>
      <c r="J42" s="17"/>
      <c r="K42" s="19"/>
      <c r="L42" s="19"/>
    </row>
    <row r="43" spans="1:12" x14ac:dyDescent="0.2">
      <c r="A43" s="30"/>
      <c r="B43" s="6"/>
      <c r="C43" s="17"/>
      <c r="D43" s="28"/>
      <c r="E43" s="27"/>
      <c r="F43" s="6"/>
      <c r="G43" s="18"/>
      <c r="H43" s="18"/>
      <c r="I43" s="49"/>
      <c r="J43" s="17"/>
      <c r="K43" s="19"/>
      <c r="L43" s="19"/>
    </row>
    <row r="44" spans="1:12" x14ac:dyDescent="0.2">
      <c r="A44" s="30"/>
      <c r="B44" s="6"/>
      <c r="C44" s="17"/>
      <c r="D44" s="28"/>
      <c r="E44" s="27"/>
      <c r="F44" s="6"/>
      <c r="G44" s="18"/>
      <c r="H44" s="18"/>
      <c r="I44" s="49"/>
      <c r="J44" s="17"/>
      <c r="K44" s="19"/>
      <c r="L44" s="19"/>
    </row>
    <row r="45" spans="1:12" x14ac:dyDescent="0.2">
      <c r="A45" s="30"/>
      <c r="B45" s="6"/>
      <c r="C45" s="17"/>
      <c r="D45" s="28"/>
      <c r="E45" s="27"/>
      <c r="F45" s="6"/>
      <c r="G45" s="18"/>
      <c r="H45" s="18"/>
      <c r="I45" s="49"/>
      <c r="J45" s="17"/>
      <c r="K45" s="19"/>
      <c r="L45" s="19"/>
    </row>
    <row r="46" spans="1:12" x14ac:dyDescent="0.2">
      <c r="A46" s="30"/>
      <c r="B46" s="6"/>
      <c r="C46" s="17"/>
      <c r="D46" s="28"/>
      <c r="E46" s="27"/>
      <c r="F46" s="6"/>
      <c r="G46" s="18"/>
      <c r="H46" s="18"/>
      <c r="I46" s="49"/>
      <c r="J46" s="17"/>
      <c r="K46" s="19"/>
      <c r="L46" s="19"/>
    </row>
    <row r="47" spans="1:12" x14ac:dyDescent="0.2">
      <c r="A47" s="30"/>
      <c r="B47" s="6"/>
      <c r="C47" s="17"/>
      <c r="D47" s="28"/>
      <c r="E47" s="27"/>
      <c r="F47" s="6"/>
      <c r="G47" s="18"/>
      <c r="H47" s="18"/>
      <c r="I47" s="49"/>
      <c r="J47" s="17"/>
      <c r="K47" s="19"/>
      <c r="L47" s="19"/>
    </row>
    <row r="48" spans="1:12" x14ac:dyDescent="0.2">
      <c r="A48" s="30"/>
      <c r="B48" s="6"/>
      <c r="C48" s="17"/>
      <c r="D48" s="28"/>
      <c r="E48" s="27"/>
      <c r="F48" s="6"/>
      <c r="G48" s="18"/>
      <c r="H48" s="18"/>
      <c r="I48" s="49"/>
      <c r="J48" s="17"/>
      <c r="K48" s="19"/>
      <c r="L48" s="19"/>
    </row>
    <row r="49" spans="1:12" x14ac:dyDescent="0.2">
      <c r="A49" s="30"/>
      <c r="B49" s="6"/>
      <c r="C49" s="17"/>
      <c r="D49" s="28"/>
      <c r="E49" s="27"/>
      <c r="F49" s="6"/>
      <c r="G49" s="18"/>
      <c r="H49" s="18"/>
      <c r="I49" s="49"/>
      <c r="J49" s="17"/>
      <c r="K49" s="19"/>
      <c r="L49" s="19"/>
    </row>
    <row r="50" spans="1:12" x14ac:dyDescent="0.2">
      <c r="A50" s="30"/>
      <c r="B50" s="6"/>
      <c r="C50" s="17"/>
      <c r="D50" s="28"/>
      <c r="E50" s="27"/>
      <c r="F50" s="6"/>
      <c r="G50" s="18"/>
      <c r="H50" s="18"/>
      <c r="I50" s="49"/>
      <c r="J50" s="17"/>
      <c r="K50" s="19"/>
      <c r="L50" s="19"/>
    </row>
    <row r="51" spans="1:12" x14ac:dyDescent="0.2">
      <c r="A51" s="30"/>
      <c r="B51" s="6"/>
      <c r="C51" s="17"/>
      <c r="D51" s="28"/>
      <c r="E51" s="27"/>
      <c r="F51" s="6"/>
      <c r="G51" s="18"/>
      <c r="H51" s="18"/>
      <c r="I51" s="49"/>
      <c r="J51" s="17"/>
      <c r="K51" s="19"/>
      <c r="L51" s="19"/>
    </row>
    <row r="52" spans="1:12" x14ac:dyDescent="0.2">
      <c r="A52" s="30"/>
      <c r="B52" s="6"/>
      <c r="C52" s="17"/>
      <c r="D52" s="28"/>
      <c r="E52" s="27"/>
      <c r="F52" s="6"/>
      <c r="G52" s="18"/>
      <c r="H52" s="18"/>
      <c r="I52" s="49"/>
      <c r="J52" s="17"/>
      <c r="K52" s="19"/>
      <c r="L52" s="19"/>
    </row>
    <row r="53" spans="1:12" x14ac:dyDescent="0.2">
      <c r="A53" s="30"/>
      <c r="B53" s="6"/>
      <c r="C53" s="17"/>
      <c r="D53" s="28"/>
      <c r="E53" s="27"/>
      <c r="F53" s="6"/>
      <c r="G53" s="18"/>
      <c r="H53" s="18"/>
      <c r="I53" s="49"/>
      <c r="J53" s="17"/>
      <c r="K53" s="19"/>
      <c r="L53" s="19"/>
    </row>
    <row r="54" spans="1:12" x14ac:dyDescent="0.2">
      <c r="A54" s="30"/>
      <c r="B54" s="6"/>
      <c r="C54" s="17"/>
      <c r="D54" s="28"/>
      <c r="E54" s="27"/>
      <c r="F54" s="6"/>
      <c r="G54" s="18"/>
      <c r="H54" s="18"/>
      <c r="I54" s="49"/>
      <c r="J54" s="17"/>
      <c r="K54" s="19"/>
      <c r="L54" s="19"/>
    </row>
    <row r="55" spans="1:12" x14ac:dyDescent="0.2">
      <c r="A55" s="30"/>
      <c r="B55" s="6"/>
      <c r="C55" s="17"/>
      <c r="D55" s="28"/>
      <c r="E55" s="27"/>
      <c r="F55" s="6"/>
      <c r="G55" s="18"/>
      <c r="H55" s="18"/>
      <c r="I55" s="49"/>
      <c r="J55" s="17"/>
      <c r="K55" s="19"/>
      <c r="L55" s="19"/>
    </row>
    <row r="56" spans="1:12" x14ac:dyDescent="0.2">
      <c r="A56" s="30"/>
      <c r="B56" s="6"/>
      <c r="C56" s="17"/>
      <c r="D56" s="28"/>
      <c r="E56" s="27"/>
      <c r="F56" s="6"/>
      <c r="G56" s="18"/>
      <c r="H56" s="18"/>
      <c r="I56" s="49"/>
      <c r="J56" s="17"/>
      <c r="K56" s="19"/>
      <c r="L56" s="19"/>
    </row>
    <row r="57" spans="1:12" x14ac:dyDescent="0.2">
      <c r="A57" s="30"/>
      <c r="B57" s="6"/>
      <c r="C57" s="17"/>
      <c r="D57" s="28"/>
      <c r="E57" s="27"/>
      <c r="F57" s="6"/>
      <c r="G57" s="18"/>
      <c r="H57" s="18"/>
      <c r="I57" s="49"/>
      <c r="J57" s="17"/>
      <c r="K57" s="19"/>
      <c r="L57" s="19"/>
    </row>
    <row r="58" spans="1:12" x14ac:dyDescent="0.2">
      <c r="A58" s="30"/>
      <c r="B58" s="6"/>
      <c r="C58" s="17"/>
      <c r="D58" s="28"/>
      <c r="E58" s="27"/>
      <c r="F58" s="6"/>
      <c r="G58" s="18"/>
      <c r="H58" s="18"/>
      <c r="I58" s="49"/>
      <c r="J58" s="17"/>
      <c r="K58" s="19"/>
      <c r="L58" s="19"/>
    </row>
    <row r="59" spans="1:12" x14ac:dyDescent="0.2">
      <c r="A59" s="30"/>
      <c r="B59" s="6"/>
      <c r="C59" s="17"/>
      <c r="D59" s="28"/>
      <c r="E59" s="27"/>
      <c r="F59" s="6"/>
      <c r="G59" s="18"/>
      <c r="H59" s="18"/>
      <c r="I59" s="49"/>
      <c r="J59" s="17"/>
      <c r="K59" s="19"/>
      <c r="L59" s="19"/>
    </row>
    <row r="60" spans="1:12" x14ac:dyDescent="0.2">
      <c r="A60" s="30"/>
      <c r="B60" s="6"/>
      <c r="C60" s="17"/>
      <c r="D60" s="28"/>
      <c r="E60" s="27"/>
      <c r="F60" s="6"/>
      <c r="G60" s="18"/>
      <c r="H60" s="18"/>
      <c r="I60" s="49"/>
      <c r="J60" s="17"/>
      <c r="K60" s="19"/>
      <c r="L60" s="19"/>
    </row>
    <row r="61" spans="1:12" x14ac:dyDescent="0.2">
      <c r="A61" s="30"/>
      <c r="B61" s="6"/>
      <c r="C61" s="17"/>
      <c r="D61" s="28"/>
      <c r="E61" s="27"/>
      <c r="F61" s="6"/>
      <c r="G61" s="18"/>
      <c r="H61" s="18"/>
      <c r="I61" s="49"/>
      <c r="J61" s="17"/>
      <c r="K61" s="19"/>
      <c r="L61" s="19"/>
    </row>
    <row r="62" spans="1:12" x14ac:dyDescent="0.2">
      <c r="A62" s="30"/>
      <c r="B62" s="6"/>
      <c r="C62" s="17"/>
      <c r="D62" s="28"/>
      <c r="E62" s="27"/>
      <c r="F62" s="6"/>
      <c r="G62" s="18"/>
      <c r="H62" s="18"/>
      <c r="I62" s="49"/>
      <c r="J62" s="17"/>
      <c r="K62" s="19"/>
      <c r="L62" s="19"/>
    </row>
    <row r="63" spans="1:12" x14ac:dyDescent="0.2">
      <c r="A63" s="30"/>
      <c r="B63" s="6"/>
      <c r="C63" s="17"/>
      <c r="D63" s="28"/>
      <c r="E63" s="27"/>
      <c r="F63" s="6"/>
      <c r="G63" s="18"/>
      <c r="H63" s="18"/>
      <c r="I63" s="49"/>
      <c r="J63" s="17"/>
      <c r="K63" s="19"/>
      <c r="L63" s="19"/>
    </row>
    <row r="64" spans="1:12" x14ac:dyDescent="0.2">
      <c r="A64" s="30"/>
      <c r="B64" s="6"/>
      <c r="C64" s="17"/>
      <c r="D64" s="28"/>
      <c r="E64" s="27"/>
      <c r="F64" s="6"/>
      <c r="G64" s="18"/>
      <c r="H64" s="18"/>
      <c r="I64" s="49"/>
      <c r="J64" s="17"/>
      <c r="K64" s="19"/>
      <c r="L64" s="19"/>
    </row>
    <row r="65" spans="1:12" x14ac:dyDescent="0.2">
      <c r="A65" s="30"/>
      <c r="B65" s="6"/>
      <c r="C65" s="17"/>
      <c r="D65" s="28"/>
      <c r="E65" s="27"/>
      <c r="F65" s="6"/>
      <c r="G65" s="18"/>
      <c r="H65" s="18"/>
      <c r="I65" s="49"/>
      <c r="J65" s="17"/>
      <c r="K65" s="19"/>
      <c r="L65" s="19"/>
    </row>
    <row r="66" spans="1:12" x14ac:dyDescent="0.2">
      <c r="A66" s="30"/>
      <c r="B66" s="6"/>
      <c r="C66" s="17"/>
      <c r="D66" s="28"/>
      <c r="E66" s="27"/>
      <c r="F66" s="6"/>
      <c r="G66" s="18"/>
      <c r="H66" s="18"/>
      <c r="I66" s="49"/>
      <c r="J66" s="17"/>
      <c r="K66" s="19"/>
      <c r="L66" s="19"/>
    </row>
    <row r="67" spans="1:12" x14ac:dyDescent="0.2">
      <c r="A67" s="30"/>
      <c r="B67" s="6"/>
      <c r="C67" s="17"/>
      <c r="D67" s="28"/>
      <c r="E67" s="27"/>
      <c r="F67" s="6"/>
      <c r="G67" s="18"/>
      <c r="H67" s="18"/>
      <c r="I67" s="49"/>
      <c r="J67" s="17"/>
      <c r="K67" s="19"/>
      <c r="L67" s="19"/>
    </row>
    <row r="68" spans="1:12" x14ac:dyDescent="0.2">
      <c r="A68" s="30"/>
      <c r="B68" s="6"/>
      <c r="C68" s="17"/>
      <c r="D68" s="28"/>
      <c r="E68" s="27"/>
      <c r="F68" s="6"/>
      <c r="G68" s="18"/>
      <c r="H68" s="18"/>
      <c r="I68" s="49"/>
      <c r="J68" s="17"/>
      <c r="K68" s="19"/>
      <c r="L68" s="19"/>
    </row>
    <row r="69" spans="1:12" x14ac:dyDescent="0.2">
      <c r="A69" s="30"/>
      <c r="B69" s="6"/>
      <c r="C69" s="17"/>
      <c r="D69" s="28"/>
      <c r="E69" s="27"/>
      <c r="F69" s="6"/>
      <c r="G69" s="18"/>
      <c r="H69" s="18"/>
      <c r="I69" s="49"/>
      <c r="J69" s="17"/>
      <c r="K69" s="19"/>
      <c r="L69" s="19"/>
    </row>
    <row r="70" spans="1:12" x14ac:dyDescent="0.2">
      <c r="A70" s="30"/>
      <c r="B70" s="6"/>
      <c r="C70" s="17"/>
      <c r="D70" s="28"/>
      <c r="E70" s="27"/>
      <c r="F70" s="6"/>
      <c r="G70" s="18"/>
      <c r="H70" s="18"/>
      <c r="I70" s="49"/>
      <c r="J70" s="17"/>
      <c r="K70" s="19"/>
      <c r="L70" s="19"/>
    </row>
    <row r="71" spans="1:12" x14ac:dyDescent="0.2">
      <c r="A71" s="30"/>
      <c r="B71" s="6"/>
      <c r="C71" s="17"/>
      <c r="D71" s="28"/>
      <c r="E71" s="27"/>
      <c r="F71" s="6"/>
      <c r="G71" s="18"/>
      <c r="H71" s="18"/>
      <c r="I71" s="49"/>
      <c r="J71" s="17"/>
      <c r="K71" s="19"/>
      <c r="L71" s="19"/>
    </row>
    <row r="72" spans="1:12" x14ac:dyDescent="0.2">
      <c r="A72" s="30"/>
      <c r="B72" s="6"/>
      <c r="C72" s="17"/>
      <c r="D72" s="28"/>
      <c r="E72" s="27"/>
      <c r="F72" s="6"/>
      <c r="G72" s="18"/>
      <c r="H72" s="18"/>
      <c r="I72" s="49"/>
      <c r="J72" s="17"/>
      <c r="K72" s="19"/>
      <c r="L72" s="19"/>
    </row>
    <row r="73" spans="1:12" x14ac:dyDescent="0.2">
      <c r="A73" s="30"/>
      <c r="B73" s="6"/>
      <c r="C73" s="17"/>
      <c r="D73" s="28"/>
      <c r="E73" s="27"/>
      <c r="F73" s="6"/>
      <c r="G73" s="18"/>
      <c r="H73" s="18"/>
      <c r="I73" s="49"/>
      <c r="J73" s="17"/>
      <c r="K73" s="19"/>
      <c r="L73" s="19"/>
    </row>
    <row r="74" spans="1:12" x14ac:dyDescent="0.2">
      <c r="A74" s="30"/>
      <c r="B74" s="6"/>
      <c r="C74" s="17"/>
      <c r="D74" s="28"/>
      <c r="E74" s="27"/>
      <c r="F74" s="6"/>
      <c r="G74" s="18"/>
      <c r="H74" s="18"/>
      <c r="I74" s="49"/>
      <c r="J74" s="17"/>
      <c r="K74" s="19"/>
      <c r="L74" s="19"/>
    </row>
    <row r="75" spans="1:12" x14ac:dyDescent="0.2">
      <c r="A75" s="30"/>
      <c r="B75" s="6"/>
      <c r="C75" s="17"/>
      <c r="D75" s="28"/>
      <c r="E75" s="27"/>
      <c r="F75" s="6"/>
      <c r="G75" s="18"/>
      <c r="H75" s="18"/>
      <c r="I75" s="49"/>
      <c r="J75" s="17"/>
      <c r="K75" s="19"/>
      <c r="L75" s="19"/>
    </row>
    <row r="76" spans="1:12" x14ac:dyDescent="0.2">
      <c r="A76" s="30"/>
      <c r="B76" s="6"/>
      <c r="C76" s="17"/>
      <c r="D76" s="28"/>
      <c r="E76" s="27"/>
      <c r="F76" s="6"/>
      <c r="G76" s="18"/>
      <c r="H76" s="18"/>
      <c r="I76" s="49"/>
      <c r="J76" s="17"/>
      <c r="K76" s="19"/>
      <c r="L76" s="19"/>
    </row>
    <row r="77" spans="1:12" x14ac:dyDescent="0.2">
      <c r="A77" s="30"/>
      <c r="B77" s="6"/>
      <c r="C77" s="17"/>
      <c r="D77" s="28"/>
      <c r="E77" s="27"/>
      <c r="F77" s="6"/>
      <c r="G77" s="18"/>
      <c r="H77" s="18"/>
      <c r="I77" s="49"/>
      <c r="J77" s="17"/>
      <c r="K77" s="19"/>
      <c r="L77" s="19"/>
    </row>
    <row r="78" spans="1:12" x14ac:dyDescent="0.2">
      <c r="A78" s="30"/>
      <c r="B78" s="6"/>
      <c r="C78" s="17"/>
      <c r="D78" s="28"/>
      <c r="E78" s="27"/>
      <c r="F78" s="6"/>
      <c r="G78" s="18"/>
      <c r="H78" s="18"/>
      <c r="I78" s="49"/>
      <c r="J78" s="17"/>
      <c r="K78" s="19"/>
      <c r="L78" s="19"/>
    </row>
    <row r="79" spans="1:12" x14ac:dyDescent="0.2">
      <c r="A79" s="30"/>
      <c r="B79" s="6"/>
      <c r="C79" s="17"/>
      <c r="D79" s="28"/>
      <c r="E79" s="27"/>
      <c r="F79" s="6"/>
      <c r="G79" s="18"/>
      <c r="H79" s="18"/>
      <c r="I79" s="49"/>
      <c r="J79" s="17"/>
      <c r="K79" s="19"/>
      <c r="L79" s="19"/>
    </row>
    <row r="80" spans="1:12" x14ac:dyDescent="0.2">
      <c r="A80" s="30"/>
      <c r="B80" s="6"/>
      <c r="C80" s="17"/>
      <c r="D80" s="28"/>
      <c r="E80" s="27"/>
      <c r="F80" s="6"/>
      <c r="G80" s="18"/>
      <c r="H80" s="18"/>
      <c r="I80" s="49"/>
      <c r="J80" s="17"/>
      <c r="K80" s="19"/>
      <c r="L80" s="19"/>
    </row>
    <row r="81" spans="1:12" x14ac:dyDescent="0.2">
      <c r="A81" s="30"/>
      <c r="B81" s="6"/>
      <c r="C81" s="17"/>
      <c r="D81" s="28"/>
      <c r="E81" s="27"/>
      <c r="F81" s="6"/>
      <c r="G81" s="18"/>
      <c r="H81" s="18"/>
      <c r="I81" s="49"/>
      <c r="J81" s="17"/>
      <c r="K81" s="19"/>
      <c r="L81" s="19"/>
    </row>
    <row r="82" spans="1:12" x14ac:dyDescent="0.2">
      <c r="A82" s="30"/>
      <c r="B82" s="6"/>
      <c r="C82" s="17"/>
      <c r="D82" s="28"/>
      <c r="E82" s="27"/>
      <c r="F82" s="6"/>
      <c r="G82" s="18"/>
      <c r="H82" s="18"/>
      <c r="I82" s="49"/>
      <c r="J82" s="17"/>
      <c r="K82" s="19"/>
      <c r="L82" s="19"/>
    </row>
    <row r="83" spans="1:12" x14ac:dyDescent="0.2">
      <c r="A83" s="30"/>
      <c r="B83" s="6"/>
      <c r="C83" s="17"/>
      <c r="D83" s="28"/>
      <c r="E83" s="27"/>
      <c r="F83" s="6"/>
      <c r="G83" s="18"/>
      <c r="H83" s="18"/>
      <c r="I83" s="49"/>
      <c r="J83" s="17"/>
      <c r="K83" s="19"/>
      <c r="L83" s="19"/>
    </row>
    <row r="84" spans="1:12" x14ac:dyDescent="0.2">
      <c r="A84" s="30"/>
      <c r="B84" s="6"/>
      <c r="C84" s="17"/>
      <c r="D84" s="28"/>
      <c r="E84" s="27"/>
      <c r="F84" s="6"/>
      <c r="G84" s="18"/>
      <c r="H84" s="18"/>
      <c r="I84" s="49"/>
      <c r="J84" s="17"/>
      <c r="K84" s="19"/>
      <c r="L84" s="19"/>
    </row>
    <row r="85" spans="1:12" x14ac:dyDescent="0.2">
      <c r="A85" s="30"/>
      <c r="B85" s="6"/>
      <c r="C85" s="17"/>
      <c r="D85" s="28"/>
      <c r="E85" s="27"/>
      <c r="F85" s="6"/>
      <c r="G85" s="18"/>
      <c r="H85" s="18"/>
      <c r="I85" s="49"/>
      <c r="J85" s="17"/>
      <c r="K85" s="19"/>
      <c r="L85" s="19"/>
    </row>
    <row r="86" spans="1:12" x14ac:dyDescent="0.2">
      <c r="A86" s="30"/>
      <c r="B86" s="6"/>
      <c r="C86" s="17"/>
      <c r="D86" s="28"/>
      <c r="E86" s="27"/>
      <c r="F86" s="6"/>
      <c r="G86" s="18"/>
      <c r="H86" s="18"/>
      <c r="I86" s="49"/>
      <c r="J86" s="17"/>
      <c r="K86" s="19"/>
      <c r="L86" s="19"/>
    </row>
    <row r="87" spans="1:12" x14ac:dyDescent="0.2">
      <c r="A87" s="30"/>
      <c r="B87" s="6"/>
      <c r="C87" s="17"/>
      <c r="D87" s="28"/>
      <c r="E87" s="27"/>
      <c r="F87" s="6"/>
      <c r="G87" s="18"/>
      <c r="H87" s="18"/>
      <c r="I87" s="49"/>
      <c r="J87" s="17"/>
      <c r="K87" s="19"/>
      <c r="L87" s="19"/>
    </row>
    <row r="88" spans="1:12" x14ac:dyDescent="0.2">
      <c r="A88" s="30"/>
      <c r="B88" s="6"/>
      <c r="C88" s="17"/>
      <c r="D88" s="28"/>
      <c r="E88" s="27"/>
      <c r="F88" s="6"/>
      <c r="G88" s="18"/>
      <c r="H88" s="18"/>
      <c r="I88" s="49"/>
      <c r="J88" s="17"/>
      <c r="K88" s="19"/>
      <c r="L88" s="19"/>
    </row>
    <row r="89" spans="1:12" x14ac:dyDescent="0.2">
      <c r="A89" s="30"/>
      <c r="B89" s="6"/>
      <c r="C89" s="17"/>
      <c r="D89" s="28"/>
      <c r="E89" s="27"/>
      <c r="F89" s="6"/>
      <c r="G89" s="18"/>
      <c r="H89" s="18"/>
      <c r="I89" s="49"/>
      <c r="J89" s="17"/>
      <c r="K89" s="19"/>
      <c r="L89" s="19"/>
    </row>
    <row r="90" spans="1:12" x14ac:dyDescent="0.2">
      <c r="A90" s="30"/>
      <c r="B90" s="6"/>
      <c r="C90" s="17"/>
      <c r="D90" s="28"/>
      <c r="E90" s="27"/>
      <c r="F90" s="6"/>
      <c r="G90" s="18"/>
      <c r="H90" s="18"/>
      <c r="I90" s="49"/>
      <c r="J90" s="17"/>
      <c r="K90" s="19"/>
      <c r="L90" s="19"/>
    </row>
    <row r="91" spans="1:12" x14ac:dyDescent="0.2">
      <c r="A91" s="30"/>
      <c r="B91" s="6"/>
      <c r="C91" s="17"/>
      <c r="D91" s="28"/>
      <c r="E91" s="27"/>
      <c r="F91" s="6"/>
      <c r="G91" s="18"/>
      <c r="H91" s="18"/>
      <c r="I91" s="49"/>
      <c r="J91" s="17"/>
      <c r="K91" s="19"/>
      <c r="L91" s="19"/>
    </row>
    <row r="92" spans="1:12" x14ac:dyDescent="0.2">
      <c r="A92" s="30"/>
      <c r="B92" s="6"/>
      <c r="C92" s="17"/>
      <c r="D92" s="28"/>
      <c r="E92" s="27"/>
      <c r="F92" s="6"/>
      <c r="G92" s="18"/>
      <c r="H92" s="18"/>
      <c r="I92" s="49"/>
      <c r="J92" s="17"/>
      <c r="K92" s="19"/>
      <c r="L92" s="19"/>
    </row>
    <row r="93" spans="1:12" x14ac:dyDescent="0.2">
      <c r="A93" s="30"/>
      <c r="B93" s="6"/>
      <c r="C93" s="17"/>
      <c r="D93" s="28"/>
      <c r="E93" s="27"/>
      <c r="F93" s="6"/>
      <c r="G93" s="18"/>
      <c r="H93" s="18"/>
      <c r="I93" s="49"/>
      <c r="J93" s="17"/>
      <c r="K93" s="19"/>
      <c r="L93" s="19"/>
    </row>
    <row r="94" spans="1:12" x14ac:dyDescent="0.2">
      <c r="A94" s="30"/>
      <c r="B94" s="6"/>
      <c r="C94" s="17"/>
      <c r="D94" s="28"/>
      <c r="E94" s="27"/>
      <c r="F94" s="6"/>
      <c r="G94" s="18"/>
      <c r="H94" s="18"/>
      <c r="I94" s="49"/>
      <c r="J94" s="17"/>
      <c r="K94" s="19"/>
      <c r="L94" s="19"/>
    </row>
    <row r="95" spans="1:12" x14ac:dyDescent="0.2">
      <c r="A95" s="30"/>
      <c r="B95" s="6"/>
      <c r="C95" s="17"/>
      <c r="D95" s="28"/>
      <c r="E95" s="27"/>
      <c r="F95" s="6"/>
      <c r="G95" s="18"/>
      <c r="H95" s="18"/>
      <c r="I95" s="49"/>
      <c r="J95" s="17"/>
      <c r="K95" s="19"/>
      <c r="L95" s="19"/>
    </row>
    <row r="96" spans="1:12" x14ac:dyDescent="0.2">
      <c r="A96" s="30"/>
      <c r="B96" s="6"/>
      <c r="C96" s="17"/>
      <c r="D96" s="28"/>
      <c r="E96" s="27"/>
      <c r="F96" s="6"/>
      <c r="G96" s="18"/>
      <c r="H96" s="18"/>
      <c r="I96" s="49"/>
      <c r="J96" s="17"/>
      <c r="K96" s="19"/>
      <c r="L96" s="19"/>
    </row>
    <row r="97" spans="1:12" x14ac:dyDescent="0.2">
      <c r="A97" s="30"/>
      <c r="B97" s="6"/>
      <c r="C97" s="17"/>
      <c r="D97" s="28"/>
      <c r="E97" s="27"/>
      <c r="F97" s="6"/>
      <c r="G97" s="18"/>
      <c r="H97" s="18"/>
      <c r="I97" s="49"/>
      <c r="J97" s="17"/>
      <c r="K97" s="19"/>
      <c r="L97" s="19"/>
    </row>
    <row r="98" spans="1:12" x14ac:dyDescent="0.2">
      <c r="A98" s="30"/>
      <c r="B98" s="6"/>
      <c r="C98" s="17"/>
      <c r="D98" s="28"/>
      <c r="E98" s="27"/>
      <c r="F98" s="6"/>
      <c r="G98" s="18"/>
      <c r="H98" s="18"/>
      <c r="I98" s="49"/>
      <c r="J98" s="17"/>
      <c r="K98" s="19"/>
      <c r="L98" s="19"/>
    </row>
    <row r="99" spans="1:12" x14ac:dyDescent="0.2">
      <c r="A99" s="30"/>
      <c r="B99" s="6"/>
      <c r="C99" s="17"/>
      <c r="D99" s="28"/>
      <c r="E99" s="27"/>
      <c r="F99" s="6"/>
      <c r="G99" s="18"/>
      <c r="H99" s="18"/>
      <c r="I99" s="49"/>
      <c r="J99" s="17"/>
      <c r="K99" s="19"/>
      <c r="L99" s="19"/>
    </row>
    <row r="100" spans="1:12" x14ac:dyDescent="0.2">
      <c r="A100" s="30"/>
      <c r="B100" s="6"/>
      <c r="C100" s="17"/>
      <c r="D100" s="28"/>
      <c r="E100" s="27"/>
      <c r="F100" s="6"/>
      <c r="G100" s="18"/>
      <c r="H100" s="18"/>
      <c r="I100" s="49"/>
      <c r="J100" s="17"/>
      <c r="K100" s="19"/>
      <c r="L100" s="19"/>
    </row>
    <row r="101" spans="1:12" x14ac:dyDescent="0.2">
      <c r="A101" s="30"/>
      <c r="B101" s="6"/>
      <c r="C101" s="17"/>
      <c r="D101" s="28"/>
      <c r="E101" s="27"/>
      <c r="F101" s="6"/>
      <c r="G101" s="18"/>
      <c r="H101" s="18"/>
      <c r="I101" s="49"/>
      <c r="J101" s="17"/>
      <c r="K101" s="19"/>
      <c r="L101" s="19"/>
    </row>
    <row r="102" spans="1:12" x14ac:dyDescent="0.2">
      <c r="A102" s="30"/>
      <c r="B102" s="6"/>
      <c r="C102" s="17"/>
      <c r="D102" s="28"/>
      <c r="E102" s="27"/>
      <c r="F102" s="6"/>
      <c r="G102" s="18"/>
      <c r="H102" s="18"/>
      <c r="I102" s="49"/>
      <c r="J102" s="17"/>
      <c r="K102" s="19"/>
      <c r="L102" s="19"/>
    </row>
    <row r="103" spans="1:12" x14ac:dyDescent="0.2">
      <c r="A103" s="30"/>
      <c r="B103" s="6"/>
      <c r="C103" s="17"/>
      <c r="D103" s="28"/>
      <c r="E103" s="27"/>
      <c r="F103" s="6"/>
      <c r="G103" s="18"/>
      <c r="H103" s="18"/>
      <c r="I103" s="49"/>
      <c r="J103" s="17"/>
      <c r="K103" s="19"/>
      <c r="L103" s="19"/>
    </row>
    <row r="104" spans="1:12" x14ac:dyDescent="0.2">
      <c r="A104" s="30"/>
      <c r="B104" s="6"/>
      <c r="C104" s="17"/>
      <c r="D104" s="28"/>
      <c r="E104" s="27"/>
      <c r="F104" s="6"/>
      <c r="G104" s="18"/>
      <c r="H104" s="18"/>
      <c r="I104" s="49"/>
      <c r="J104" s="17"/>
      <c r="K104" s="19"/>
      <c r="L104" s="19"/>
    </row>
    <row r="105" spans="1:12" x14ac:dyDescent="0.2">
      <c r="A105" s="30"/>
      <c r="B105" s="6"/>
      <c r="C105" s="17"/>
      <c r="D105" s="28"/>
      <c r="E105" s="27"/>
      <c r="F105" s="6"/>
      <c r="G105" s="18"/>
      <c r="H105" s="18"/>
      <c r="I105" s="49"/>
      <c r="J105" s="17"/>
      <c r="K105" s="19"/>
      <c r="L105" s="19"/>
    </row>
    <row r="106" spans="1:12" x14ac:dyDescent="0.2">
      <c r="A106" s="30"/>
      <c r="B106" s="6"/>
      <c r="C106" s="17"/>
      <c r="D106" s="28"/>
      <c r="E106" s="27"/>
      <c r="F106" s="6"/>
      <c r="G106" s="18"/>
      <c r="H106" s="18"/>
      <c r="I106" s="49"/>
      <c r="J106" s="17"/>
      <c r="K106" s="19"/>
      <c r="L106" s="19"/>
    </row>
    <row r="107" spans="1:12" x14ac:dyDescent="0.2">
      <c r="A107" s="30"/>
      <c r="B107" s="6"/>
      <c r="C107" s="17"/>
      <c r="D107" s="28"/>
      <c r="E107" s="27"/>
      <c r="F107" s="6"/>
      <c r="G107" s="18"/>
      <c r="H107" s="18"/>
      <c r="I107" s="49"/>
      <c r="J107" s="17"/>
      <c r="K107" s="19"/>
      <c r="L107" s="19"/>
    </row>
    <row r="108" spans="1:12" x14ac:dyDescent="0.2">
      <c r="A108" s="30"/>
      <c r="B108" s="6"/>
      <c r="C108" s="17"/>
      <c r="D108" s="28"/>
      <c r="E108" s="27"/>
      <c r="F108" s="6"/>
      <c r="G108" s="18"/>
      <c r="H108" s="18"/>
      <c r="I108" s="49"/>
      <c r="J108" s="17"/>
      <c r="K108" s="19"/>
      <c r="L108" s="19"/>
    </row>
    <row r="109" spans="1:12" x14ac:dyDescent="0.2">
      <c r="A109" s="30"/>
      <c r="B109" s="6"/>
      <c r="C109" s="17"/>
      <c r="D109" s="28"/>
      <c r="E109" s="27"/>
      <c r="F109" s="6"/>
      <c r="G109" s="18"/>
      <c r="H109" s="18"/>
      <c r="I109" s="49"/>
      <c r="J109" s="17"/>
      <c r="K109" s="19"/>
      <c r="L109" s="19"/>
    </row>
    <row r="110" spans="1:12" x14ac:dyDescent="0.2">
      <c r="A110" s="30"/>
      <c r="B110" s="6"/>
      <c r="C110" s="17"/>
      <c r="D110" s="28"/>
      <c r="E110" s="27"/>
      <c r="F110" s="6"/>
      <c r="G110" s="18"/>
      <c r="H110" s="18"/>
      <c r="I110" s="49"/>
      <c r="J110" s="17"/>
      <c r="K110" s="19"/>
      <c r="L110" s="19"/>
    </row>
    <row r="111" spans="1:12" x14ac:dyDescent="0.2">
      <c r="A111" s="30"/>
      <c r="B111" s="6"/>
      <c r="C111" s="17"/>
      <c r="D111" s="28"/>
      <c r="E111" s="27"/>
      <c r="F111" s="6"/>
      <c r="G111" s="18"/>
      <c r="H111" s="18"/>
      <c r="I111" s="49"/>
      <c r="J111" s="17"/>
      <c r="K111" s="19"/>
      <c r="L111" s="19"/>
    </row>
    <row r="112" spans="1:12" x14ac:dyDescent="0.2">
      <c r="A112" s="30"/>
      <c r="B112" s="6"/>
      <c r="C112" s="17"/>
      <c r="D112" s="28"/>
      <c r="E112" s="27"/>
      <c r="F112" s="6"/>
      <c r="G112" s="18"/>
      <c r="H112" s="18"/>
      <c r="I112" s="49"/>
      <c r="J112" s="17"/>
      <c r="K112" s="19"/>
      <c r="L112" s="19"/>
    </row>
    <row r="113" spans="1:12" x14ac:dyDescent="0.2">
      <c r="A113" s="30"/>
      <c r="B113" s="6"/>
      <c r="C113" s="17"/>
      <c r="D113" s="28"/>
      <c r="E113" s="27"/>
      <c r="F113" s="6"/>
      <c r="G113" s="18"/>
      <c r="H113" s="18"/>
      <c r="I113" s="49"/>
      <c r="J113" s="17"/>
      <c r="K113" s="19"/>
      <c r="L113" s="19"/>
    </row>
    <row r="114" spans="1:12" x14ac:dyDescent="0.2">
      <c r="A114" s="30"/>
      <c r="B114" s="6"/>
      <c r="C114" s="17"/>
      <c r="D114" s="28"/>
      <c r="E114" s="27"/>
      <c r="F114" s="6"/>
      <c r="G114" s="18"/>
      <c r="H114" s="18"/>
      <c r="I114" s="49"/>
      <c r="J114" s="17"/>
      <c r="K114" s="19"/>
      <c r="L114" s="19"/>
    </row>
    <row r="115" spans="1:12" x14ac:dyDescent="0.2">
      <c r="A115" s="30"/>
      <c r="B115" s="6"/>
      <c r="C115" s="17"/>
      <c r="D115" s="28"/>
      <c r="E115" s="27"/>
      <c r="F115" s="6"/>
      <c r="G115" s="18"/>
      <c r="H115" s="18"/>
      <c r="I115" s="49"/>
      <c r="J115" s="17"/>
      <c r="K115" s="19"/>
      <c r="L115" s="19"/>
    </row>
    <row r="116" spans="1:12" x14ac:dyDescent="0.2">
      <c r="A116" s="30"/>
      <c r="B116" s="6"/>
      <c r="C116" s="17"/>
      <c r="D116" s="28"/>
      <c r="E116" s="27"/>
      <c r="F116" s="6"/>
      <c r="G116" s="18"/>
      <c r="H116" s="18"/>
      <c r="I116" s="49"/>
      <c r="J116" s="17"/>
      <c r="K116" s="19"/>
      <c r="L116" s="19"/>
    </row>
    <row r="117" spans="1:12" x14ac:dyDescent="0.2">
      <c r="A117" s="30"/>
      <c r="B117" s="6"/>
      <c r="C117" s="17"/>
      <c r="D117" s="28"/>
      <c r="E117" s="27"/>
      <c r="F117" s="6"/>
      <c r="G117" s="18"/>
      <c r="H117" s="18"/>
      <c r="I117" s="49"/>
      <c r="J117" s="17"/>
      <c r="K117" s="19"/>
      <c r="L117" s="19"/>
    </row>
    <row r="118" spans="1:12" x14ac:dyDescent="0.2">
      <c r="A118" s="30"/>
      <c r="B118" s="6"/>
      <c r="C118" s="17"/>
      <c r="D118" s="28"/>
      <c r="E118" s="27"/>
      <c r="F118" s="6"/>
      <c r="G118" s="18"/>
      <c r="H118" s="18"/>
      <c r="I118" s="49"/>
      <c r="J118" s="17"/>
      <c r="K118" s="19"/>
      <c r="L118" s="19"/>
    </row>
    <row r="119" spans="1:12" x14ac:dyDescent="0.2">
      <c r="A119" s="30"/>
      <c r="B119" s="6"/>
      <c r="C119" s="17"/>
      <c r="D119" s="28"/>
      <c r="E119" s="27"/>
      <c r="F119" s="6"/>
      <c r="G119" s="18"/>
      <c r="H119" s="18"/>
      <c r="I119" s="49"/>
      <c r="J119" s="17"/>
      <c r="K119" s="19"/>
      <c r="L119" s="19"/>
    </row>
    <row r="120" spans="1:12" x14ac:dyDescent="0.2">
      <c r="A120" s="30"/>
      <c r="B120" s="6"/>
      <c r="C120" s="17"/>
      <c r="D120" s="28"/>
      <c r="E120" s="27"/>
      <c r="F120" s="6"/>
      <c r="G120" s="18"/>
      <c r="H120" s="18"/>
      <c r="I120" s="49"/>
      <c r="J120" s="17"/>
      <c r="K120" s="19"/>
      <c r="L120" s="19"/>
    </row>
    <row r="121" spans="1:12" x14ac:dyDescent="0.2">
      <c r="A121" s="30"/>
      <c r="B121" s="6"/>
      <c r="C121" s="17"/>
      <c r="D121" s="28"/>
      <c r="E121" s="27"/>
      <c r="F121" s="6"/>
      <c r="G121" s="18"/>
      <c r="H121" s="18"/>
      <c r="I121" s="49"/>
      <c r="J121" s="17"/>
      <c r="K121" s="19"/>
      <c r="L121" s="19"/>
    </row>
    <row r="122" spans="1:12" x14ac:dyDescent="0.2">
      <c r="A122" s="30"/>
      <c r="B122" s="6"/>
      <c r="C122" s="17"/>
      <c r="D122" s="28"/>
      <c r="E122" s="27"/>
      <c r="F122" s="6"/>
      <c r="G122" s="18"/>
      <c r="H122" s="18"/>
      <c r="I122" s="49"/>
      <c r="J122" s="17"/>
      <c r="K122" s="19"/>
      <c r="L122" s="19"/>
    </row>
    <row r="123" spans="1:12" x14ac:dyDescent="0.2">
      <c r="A123" s="30"/>
      <c r="B123" s="6"/>
      <c r="C123" s="17"/>
      <c r="D123" s="28"/>
      <c r="E123" s="27"/>
      <c r="F123" s="6"/>
      <c r="G123" s="18"/>
      <c r="H123" s="18"/>
      <c r="I123" s="49"/>
      <c r="J123" s="17"/>
      <c r="K123" s="19"/>
      <c r="L123" s="19"/>
    </row>
    <row r="124" spans="1:12" x14ac:dyDescent="0.2">
      <c r="A124" s="30"/>
      <c r="B124" s="6"/>
      <c r="C124" s="17"/>
      <c r="D124" s="28"/>
      <c r="E124" s="27"/>
      <c r="F124" s="6"/>
      <c r="G124" s="18"/>
      <c r="H124" s="18"/>
      <c r="I124" s="49"/>
      <c r="J124" s="17"/>
      <c r="K124" s="19"/>
      <c r="L124" s="19"/>
    </row>
    <row r="125" spans="1:12" x14ac:dyDescent="0.2">
      <c r="A125" s="30"/>
      <c r="B125" s="6"/>
      <c r="C125" s="17"/>
      <c r="D125" s="28"/>
      <c r="E125" s="27"/>
      <c r="F125" s="6"/>
      <c r="G125" s="18"/>
      <c r="H125" s="18"/>
      <c r="I125" s="49"/>
      <c r="J125" s="17"/>
      <c r="K125" s="19"/>
      <c r="L125" s="19"/>
    </row>
    <row r="126" spans="1:12" x14ac:dyDescent="0.2">
      <c r="A126" s="30"/>
      <c r="B126" s="6"/>
      <c r="C126" s="17"/>
      <c r="D126" s="28"/>
      <c r="E126" s="27"/>
      <c r="F126" s="6"/>
      <c r="G126" s="18"/>
      <c r="H126" s="18"/>
      <c r="I126" s="49"/>
      <c r="J126" s="17"/>
      <c r="K126" s="19"/>
      <c r="L126" s="19"/>
    </row>
    <row r="127" spans="1:12" x14ac:dyDescent="0.2">
      <c r="A127" s="30"/>
      <c r="B127" s="6"/>
      <c r="C127" s="17"/>
      <c r="D127" s="28"/>
      <c r="E127" s="27"/>
      <c r="F127" s="6"/>
      <c r="G127" s="18"/>
      <c r="H127" s="18"/>
      <c r="I127" s="49"/>
      <c r="J127" s="17"/>
      <c r="K127" s="19"/>
      <c r="L127" s="19"/>
    </row>
    <row r="128" spans="1:12" x14ac:dyDescent="0.2">
      <c r="A128" s="30"/>
      <c r="B128" s="6"/>
      <c r="C128" s="17"/>
      <c r="D128" s="28"/>
      <c r="E128" s="27"/>
      <c r="F128" s="6"/>
      <c r="G128" s="18"/>
      <c r="H128" s="18"/>
      <c r="I128" s="49"/>
      <c r="J128" s="17"/>
      <c r="K128" s="19"/>
      <c r="L128" s="19"/>
    </row>
    <row r="129" spans="1:12" x14ac:dyDescent="0.2">
      <c r="A129" s="30"/>
      <c r="B129" s="6"/>
      <c r="C129" s="17"/>
      <c r="D129" s="28"/>
      <c r="E129" s="27"/>
      <c r="F129" s="6"/>
      <c r="G129" s="18"/>
      <c r="H129" s="18"/>
      <c r="I129" s="49"/>
      <c r="J129" s="17"/>
      <c r="K129" s="19"/>
      <c r="L129" s="19"/>
    </row>
    <row r="130" spans="1:12" x14ac:dyDescent="0.2">
      <c r="A130" s="30"/>
      <c r="B130" s="6"/>
      <c r="C130" s="17"/>
      <c r="D130" s="28"/>
      <c r="E130" s="27"/>
      <c r="F130" s="6"/>
      <c r="G130" s="18"/>
      <c r="H130" s="18"/>
      <c r="I130" s="49"/>
      <c r="J130" s="17"/>
      <c r="K130" s="19"/>
      <c r="L130" s="19"/>
    </row>
    <row r="131" spans="1:12" x14ac:dyDescent="0.2">
      <c r="A131" s="30"/>
      <c r="B131" s="6"/>
      <c r="C131" s="17"/>
      <c r="D131" s="28"/>
      <c r="E131" s="27"/>
      <c r="F131" s="6"/>
      <c r="G131" s="18"/>
      <c r="H131" s="18"/>
      <c r="I131" s="49"/>
      <c r="J131" s="17"/>
      <c r="K131" s="19"/>
      <c r="L131" s="19"/>
    </row>
    <row r="132" spans="1:12" x14ac:dyDescent="0.2">
      <c r="A132" s="30"/>
      <c r="B132" s="6"/>
      <c r="C132" s="17"/>
      <c r="D132" s="28"/>
      <c r="E132" s="27"/>
      <c r="F132" s="6"/>
      <c r="G132" s="18"/>
      <c r="H132" s="18"/>
      <c r="I132" s="49"/>
      <c r="J132" s="17"/>
      <c r="K132" s="19"/>
      <c r="L132" s="19"/>
    </row>
    <row r="133" spans="1:12" x14ac:dyDescent="0.2">
      <c r="A133" s="30"/>
      <c r="B133" s="6"/>
      <c r="C133" s="17"/>
      <c r="D133" s="28"/>
      <c r="E133" s="27"/>
      <c r="F133" s="6"/>
      <c r="G133" s="18"/>
      <c r="H133" s="18"/>
      <c r="I133" s="49"/>
      <c r="J133" s="17"/>
      <c r="K133" s="19"/>
      <c r="L133" s="19"/>
    </row>
    <row r="134" spans="1:12" x14ac:dyDescent="0.2">
      <c r="A134" s="30"/>
      <c r="B134" s="6"/>
      <c r="C134" s="17"/>
      <c r="D134" s="28"/>
      <c r="E134" s="27"/>
      <c r="F134" s="6"/>
      <c r="G134" s="18"/>
      <c r="H134" s="18"/>
      <c r="I134" s="49"/>
      <c r="J134" s="17"/>
      <c r="K134" s="19"/>
      <c r="L134" s="19"/>
    </row>
    <row r="135" spans="1:12" x14ac:dyDescent="0.2">
      <c r="A135" s="30"/>
      <c r="B135" s="6"/>
      <c r="C135" s="17"/>
      <c r="D135" s="28"/>
      <c r="E135" s="27"/>
      <c r="F135" s="6"/>
      <c r="G135" s="18"/>
      <c r="H135" s="18"/>
      <c r="I135" s="49"/>
      <c r="J135" s="17"/>
      <c r="K135" s="19"/>
      <c r="L135" s="19"/>
    </row>
    <row r="136" spans="1:12" x14ac:dyDescent="0.2">
      <c r="A136" s="30"/>
      <c r="B136" s="6"/>
      <c r="C136" s="17"/>
      <c r="D136" s="28"/>
      <c r="E136" s="27"/>
      <c r="F136" s="6"/>
      <c r="G136" s="18"/>
      <c r="H136" s="18"/>
      <c r="I136" s="49"/>
      <c r="J136" s="17"/>
      <c r="K136" s="19"/>
      <c r="L136" s="19"/>
    </row>
  </sheetData>
  <mergeCells count="4">
    <mergeCell ref="E1:E2"/>
    <mergeCell ref="D1:D2"/>
    <mergeCell ref="A10:K10"/>
    <mergeCell ref="A8:O8"/>
  </mergeCells>
  <phoneticPr fontId="1"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C0C1C8FC-697C-A049-85D4-1BE721EBEF93}">
          <x14:formula1>
            <xm:f>Dropdowns!$I$2:$I$15</xm:f>
          </x14:formula1>
          <xm:sqref>F4:F5 F7 F11:F136</xm:sqref>
        </x14:dataValidation>
        <x14:dataValidation type="list" allowBlank="1" showInputMessage="1" showErrorMessage="1" xr:uid="{0DDCB538-46F7-8641-90A9-666F082080B5}">
          <x14:formula1>
            <xm:f>Dropdowns!$C$2:$C$7</xm:f>
          </x14:formula1>
          <xm:sqref>B4:B5 B11:B136 B7</xm:sqref>
        </x14:dataValidation>
        <x14:dataValidation type="list" allowBlank="1" showInputMessage="1" showErrorMessage="1" xr:uid="{EAC40882-9316-9144-98E8-1234DB4542B6}">
          <x14:formula1>
            <xm:f>Dropdowns!$K$2:$K$4</xm:f>
          </x14:formula1>
          <xm:sqref>I33:I136 I11:I31 I7</xm:sqref>
        </x14:dataValidation>
        <x14:dataValidation type="list" allowBlank="1" showInputMessage="1" showErrorMessage="1" xr:uid="{72610D41-308F-954C-8478-F63710DE2EBE}">
          <x14:formula1>
            <xm:f>Dropdowns!$K$2:$K$5</xm:f>
          </x14:formula1>
          <xm:sqref>I4:I5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 C o l u m n s \ C a t e g o r i e s   ( I t e m ) < / K e y > < / a : K e y > < a : V a l u e   i : t y p e = " T a b l e W i d g e t B a s e V i e w S t a t e " / > < / a : K e y V a l u e O f D i a g r a m O b j e c t K e y a n y T y p e z b w N T n L X > < a : K e y V a l u e O f D i a g r a m O b j e c t K e y a n y T y p e z b w N T n L X > < a : K e y > < K e y > C o l u m n s \ A c t i v i t i e s   -   D e s c r i p t i o n s < / K e y > < / a : K e y > < a : V a l u e   i : t y p e = " T a b l e W i d g e t B a s e V i e w S t a t e " / > < / a : K e y V a l u e O f D i a g r a m O b j e c t K e y a n y T y p e z b w N T n L X > < a : K e y V a l u e O f D i a g r a m O b j e c t K e y a n y T y p e z b w N T n L X > < a : K e y > < K e y > C o l u m n s \ J E T   I P   b u d g e t   ( Z A R   b n ) < / K e y > < / a : K e y > < a : V a l u e   i : t y p e = " T a b l e W i d g e t B a s e V i e w S t a t e " / > < / a : K e y V a l u e O f D i a g r a m O b j e c t K e y a n y T y p e z b w N T n L X > < a : K e y V a l u e O f D i a g r a m O b j e c t K e y a n y T y p e z b w N T n L X > < a : K e y > < K e y > C o l u m n s \ I m p l e m e n t i n g   i n s t i t u t i o n < / K e y > < / a : K e y > < a : V a l u e   i : t y p e = " T a b l e W i d g e t B a s e V i e w S t a t e " / > < / a : K e y V a l u e O f D i a g r a m O b j e c t K e y a n y T y p e z b w N T n L X > < a : K e y V a l u e O f D i a g r a m O b j e c t K e y a n y T y p e z b w N T n L X > < a : K e y > < K e y > C o l u m n s \ F u n d e r   # < / K e y > < / a : K e y > < a : V a l u e   i : t y p e = " T a b l e W i d g e t B a s e V i e w S t a t e " / > < / a : K e y V a l u e O f D i a g r a m O b j e c t K e y a n y T y p e z b w N T n L X > < a : K e y V a l u e O f D i a g r a m O b j e c t K e y a n y T y p e z b w N T n L X > < a : K e y > < K e y > C o l u m n s \ F u n d e r < / K e y > < / a : K e y > < a : V a l u e   i : t y p e = " T a b l e W i d g e t B a s e V i e w S t a t e " / > < / a : K e y V a l u e O f D i a g r a m O b j e c t K e y a n y T y p e z b w N T n L X > < a : K e y V a l u e O f D i a g r a m O b j e c t K e y a n y T y p e z b w N T n L X > < a : K e y > < K e y > C o l u m n s \ F u n d i n g   i n s t r u m e n t / s < / K e y > < / a : K e y > < a : V a l u e   i : t y p e = " T a b l e W i d g e t B a s e V i e w S t a t e " / > < / a : K e y V a l u e O f D i a g r a m O b j e c t K e y a n y T y p e z b w N T n L X > < a : K e y V a l u e O f D i a g r a m O b j e c t K e y a n y T y p e z b w N T n L X > < a : K e y > < K e y > C o l u m n s \ U S $   ( M i l l i o n ) < / K e y > < / a : K e y > < a : V a l u e   i : t y p e = " T a b l e W i d g e t B a s e V i e w S t a t e " / > < / a : K e y V a l u e O f D i a g r a m O b j e c t K e y a n y T y p e z b w N T n L X > < a : K e y V a l u e O f D i a g r a m O b j e c t K e y a n y T y p e z b w N T n L X > < a : K e y > < K e y > C o l u m n s \ E U R     ( m ) < / K e y > < / a : K e y > < a : V a l u e   i : t y p e = " T a b l e W i d g e t B a s e V i e w S t a t e " / > < / a : K e y V a l u e O f D i a g r a m O b j e c t K e y a n y T y p e z b w N T n L X > < a : K e y V a l u e O f D i a g r a m O b j e c t K e y a n y T y p e z b w N T n L X > < a : K e y > < K e y > C o l u m n s \ Z A R   m   ( 1 7 : 1 ) < / K e y > < / a : K e y > < a : V a l u e   i : t y p e = " T a b l e W i d g e t B a s e V i e w S t a t e " / > < / a : K e y V a l u e O f D i a g r a m O b j e c t K e y a n y T y p e z b w N T n L X > < a : K e y V a l u e O f D i a g r a m O b j e c t K e y a n y T y p e z b w N T n L X > < a : K e y > < K e y > C o l u m n s \ Z A R   m   ( 2 0 : 1 ) < / K e y > < / a : K e y > < a : V a l u e   i : t y p e = " T a b l e W i d g e t B a s e V i e w S t a t e " / > < / a : K e y V a l u e O f D i a g r a m O b j e c t K e y a n y T y p e z b w N T n L X > < a : K e y V a l u e O f D i a g r a m O b j e c t K e y a n y T y p e z b w N T n L X > < a : K e y > < K e y > C o l u m n s \ T o t a l   Z A R < / K e y > < / a : K e y > < a : V a l u e   i : t y p e = " T a b l e W i d g e t B a s e V i e w S t a t e " / > < / a : K e y V a l u e O f D i a g r a m O b j e c t K e y a n y T y p e z b w N T n L X > < a : K e y V a l u e O f D i a g r a m O b j e c t K e y a n y T y p e z b w N T n L X > < a : K e y > < K e y > C o l u m n s \ D u r a t i o n   ( d a t e s ) :   P r o j e c t   p r e p ,   S t a r t ,   E n d < / K e y > < / a : K e y > < a : V a l u e   i : t y p e = " T a b l e W i d g e t B a s e V i e w S t a t e " / > < / a : K e y V a l u e O f D i a g r a m O b j e c t K e y a n y T y p e z b w N T n L X > < a : K e y V a l u e O f D i a g r a m O b j e c t K e y a n y T y p e z b w N T n L X > < a : K e y > < K e y > C o l u m n s \ I P G < / K e y > < / a : K e y > < a : V a l u e   i : t y p e = " T a b l e W i d g e t B a s e V i e w S t a t e " / > < / a : K e y V a l u e O f D i a g r a m O b j e c t K e y a n y T y p e z b w N T n L X > < a : K e y V a l u e O f D i a g r a m O b j e c t K e y a n y T y p e z b w N T n L X > < a : K e y > < K e y > C o l u m n s \ P a r t i e s   t o   t h e   f u n d i n g   a g r e e m e n t / s < / K e y > < / a : K e y > < a : V a l u e   i : t y p e = " T a b l e W i d g e t B a s e V i e w S t a t e " / > < / a : K e y V a l u e O f D i a g r a m O b j e c t K e y a n y T y p e z b w N T n L X > < a : K e y V a l u e O f D i a g r a m O b j e c t K e y a n y T y p e z b w N T n L X > < a : K e y > < K e y > C o l u m n s \ O t h e r   k e y   b e n e f i c i a r i e s < / K e y > < / a : K e y > < a : V a l u e   i : t y p e = " T a b l e W i d g e t B a s e V i e w S t a t e " / > < / a : K e y V a l u e O f D i a g r a m O b j e c t K e y a n y T y p e z b w N T n L X > < a : K e y V a l u e O f D i a g r a m O b j e c t K e y a n y T y p e z b w N T n L X > < a : K e y > < K e y > C o l u m n s \ K e y   t e r m s   a n d   c o n d i t i o n s < / K e y > < / a : K e y > < a : V a l u e   i : t y p e = " T a b l e W i d g e t B a s e V i e w S t a t e " / > < / a : K e y V a l u e O f D i a g r a m O b j e c t K e y a n y T y p e z b w N T n L X > < a : K e y V a l u e O f D i a g r a m O b j e c t K e y a n y T y p e z b w N T n L X > < a : K e y > < K e y > C o l u m n s \ D i s b u r s e m e n t s     s t a t u s < / K e y > < / a : K e y > < a : V a l u e   i : t y p e = " T a b l e W i d g e t B a s e V i e w S t a t e " / > < / a : K e y V a l u e O f D i a g r a m O b j e c t K e y a n y T y p e z b w N T n L X > < a : K e y V a l u e O f D i a g r a m O b j e c t K e y a n y T y p e z b w N T n L X > < a : K e y > < K e y > C o l u m n s \ D e s c r i p t i o n s < / K e y > < / a : K e y > < a : V a l u e   i : t y p e = " T a b l e W i d g e t B a s e V i e w S t a t e " / > < / a : K e y V a l u e O f D i a g r a m O b j e c t K e y a n y T y p e z b w N T n L X > < a : K e y V a l u e O f D i a g r a m O b j e c t K e y a n y T y p e z b w N T n L X > < a : K e y > < K e y > C o l u m n s \ F u n d i n g   g a p   a n a l y s i s < / K e y > < / a : K e y > < a : V a l u e   i : t y p e = " T a b l e W i d g e t B a s e V i e w S t a t e " / > < / a : K e y V a l u e O f D i a g r a m O b j e c t K e y a n y T y p e z b w N T n L X > < a : K e y V a l u e O f D i a g r a m O b j e c t K e y a n y T y p e z b w N T n L X > < a : K e y > < K e y > C o l u m n s \ F u n d e r / s   c o n t a c t s   ( n a m e ,   e m a i l ,   m o b i l e ) < / K e y > < / a : K e y > < a : V a l u e   i : t y p e = " T a b l e W i d g e t B a s e V i e w S t a t e " / > < / a : K e y V a l u e O f D i a g r a m O b j e c t K e y a n y T y p e z b w N T n L X > < a : K e y V a l u e O f D i a g r a m O b j e c t K e y a n y T y p e z b w N T n L X > < a : K e y > < K e y > C o l u m n s \ S A   c o n t a c t s   ( i n s t i t u t i o n ,   n a m e ,   e m a i l ,   m o b i l e ) 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 2 0 2 3 - 0 7 - 1 3 T 1 4 : 0 6 : 5 0 . 2 1 7 6 5 1 2 + 0 2 : 0 0 < / L a s t P r o c e s s e d T i m e > < / D a t a M o d e l i n g S a n d b o x . S e r i a l i z e d S a n d b o x E r r o r C a c h e > ] ] > < / 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I s S a n d b o x E m b e d d e d " > < C u s t o m C o n t e n t > < ! [ C D A T A [ y e s ] ] > < / C u s t o m C o n t e n t > < / G e m i n i > 
</file>

<file path=customXml/item14.xml>��< ? x m l   v e r s i o n = " 1 . 0 "   e n c o d i n g = " U T F - 1 6 " ? > < G e m i n i   x m l n s = " h t t p : / / g e m i n i / p i v o t c u s t o m i z a t i o n / S h o w H i d d e n " > < C u s t o m C o n t e n t > < ! [ C D A T A [ T r u e ] ] > < / C u s t o m C o n t e n t > < / G e m i n i > 
</file>

<file path=customXml/item15.xml>��< ? x m l   v e r s i o n = " 1 . 0 "   e n c o d i n g = " U T F - 1 6 " ? > < G e m i n i   x m l n s = " h t t p : / / g e m i n i / p i v o t c u s t o m i z a t i o n / C l i e n t W i n d o w X M L " > < C u s t o m C o n t e n t > < ! [ C D A T A [ T a b l e 1 ] ] > < / C u s t o m C o n t e n t > < / G e m i n i > 
</file>

<file path=customXml/item16.xml>��< ? x m l   v e r s i o n = " 1 . 0 "   e n c o d i n g = " U T F - 1 6 " ? > < G e m i n i   x m l n s = " h t t p : / / g e m i n i / p i v o t c u s t o m i z a t i o n / R e l a t i o n s h i p A u t o D e t e c t i o n E n a b l e d " > < C u s t o m C o n t e n t > < ! [ C D A T A [ T r u e ] ] > < / C u s t o m C o n t e n t > < / G e m i n i > 
</file>

<file path=customXml/item2.xml>��< ? x m l   v e r s i o n = " 1 . 0 "   e n c o d i n g = " U T F - 1 6 " ? > < G e m i n i   x m l n s = " h t t p : / / g e m i n i / p i v o t c u s t o m i z a t i o n / P o w e r P i v o t V e r s i o n " > < C u s t o m C o n t e n t > < ! [ C D A T A [ 2 0 1 5 . 1 3 0 . 1 6 0 5 . 1 0 7 5 ] ] > < / C u s t o m C o n t e n t > < / G e m i n i > 
</file>

<file path=customXml/item3.xml>��< ? x m l   v e r s i o n = " 1 . 0 "   e n c o d i n g = " U T F - 1 6 " ? > < G e m i n i   x m l n s = " h t t p : / / g e m i n i / p i v o t c u s t o m i z a t i o n / T a b l e O r d e r " > < C u s t o m C o n t e n t > < ! [ C D A T A [ T a b l e 1 ] ] > < / C u s t o m C o n t e n t > < / G e m i n i > 
</file>

<file path=customXml/item4.xml>��< ? x m l   v e r s i o n = " 1 . 0 "   e n c o d i n g = " U T F - 1 6 " ? > < G e m i n i   x m l n s = " h t t p : / / g e m i n i / p i v o t c u s t o m i z a t i o n / T a b l e X M L _ T a b l e 1 " > < C u s t o m C o n t e n t > < ! [ C D A T A [ < T a b l e W i d g e t G r i d S e r i a l i z a t i o n   x m l n s : x s i = " h t t p : / / w w w . w 3 . o r g / 2 0 0 1 / X M L S c h e m a - i n s t a n c e "   x m l n s : x s d = " h t t p : / / w w w . w 3 . o r g / 2 0 0 1 / X M L S c h e m a " > < C o l u m n S u g g e s t e d T y p e   / > < C o l u m n F o r m a t   / > < C o l u m n A c c u r a c y   / > < C o l u m n C u r r e n c y S y m b o l   / > < C o l u m n P o s i t i v e P a t t e r n   / > < C o l u m n N e g a t i v e P a t t e r n   / > < C o l u m n W i d t h s > < i t e m > < k e y > < s t r i n g > S e c t o r < / s t r i n g > < / k e y > < v a l u e > < i n t > 1 0 6 < / i n t > < / v a l u e > < / i t e m > < i t e m > < k e y > < s t r i n g > C a t e g o r i e s   ( I t e m ) < / s t r i n g > < / k e y > < v a l u e > < i n t > 2 0 6 < / i n t > < / v a l u e > < / i t e m > < i t e m > < k e y > < s t r i n g > A c t i v i t i e s   -   D e s c r i p t i o n s < / s t r i n g > < / k e y > < v a l u e > < i n t > 2 6 0 < / i n t > < / v a l u e > < / i t e m > < i t e m > < k e y > < s t r i n g > J E T   I P   b u d g e t   ( Z A R   b n ) < / s t r i n g > < / k e y > < v a l u e > < i n t > 2 5 2 < / i n t > < / v a l u e > < / i t e m > < i t e m > < k e y > < s t r i n g > I m p l e m e n t i n g   i n s t i t u t i o n < / s t r i n g > < / k e y > < v a l u e > < i n t > 2 7 4 < / i n t > < / v a l u e > < / i t e m > < i t e m > < k e y > < s t r i n g > F u n d e r   # < / s t r i n g > < / k e y > < v a l u e > < i n t > 1 3 0 < / i n t > < / v a l u e > < / i t e m > < i t e m > < k e y > < s t r i n g > F u n d e r < / s t r i n g > < / k e y > < v a l u e > < i n t > 1 1 4 < / i n t > < / v a l u e > < / i t e m > < i t e m > < k e y > < s t r i n g > F u n d i n g   i n s t r u m e n t / s < / s t r i n g > < / k e y > < v a l u e > < i n t > 2 4 6 < / i n t > < / v a l u e > < / i t e m > < i t e m > < k e y > < s t r i n g > U S $   ( M i l l i o n ) < / s t r i n g > < / k e y > < v a l u e > < i n t > 1 6 6 < / i n t > < / v a l u e > < / i t e m > < i t e m > < k e y > < s t r i n g > E U R     ( m ) < / s t r i n g > < / k e y > < v a l u e > < i n t > 1 2 8 < / i n t > < / v a l u e > < / i t e m > < i t e m > < k e y > < s t r i n g > Z A R   m   ( 1 7 : 1 ) < / s t r i n g > < / k e y > < v a l u e > < i n t > 1 6 5 < / i n t > < / v a l u e > < / i t e m > < i t e m > < k e y > < s t r i n g > Z A R   m   ( 2 0 : 1 ) < / s t r i n g > < / k e y > < v a l u e > < i n t > 1 6 5 < / i n t > < / v a l u e > < / i t e m > < i t e m > < k e y > < s t r i n g > T o t a l   Z A R < / s t r i n g > < / k e y > < v a l u e > < i n t > 3 5 3 < / i n t > < / v a l u e > < / i t e m > < i t e m > < k e y > < s t r i n g > D u r a t i o n   ( d a t e s ) :   P r o j e c t   p r e p ,   S t a r t ,   E n d < / s t r i n g > < / k e y > < v a l u e > < i n t > 4 1 9 < / i n t > < / v a l u e > < / i t e m > < i t e m > < k e y > < s t r i n g > I P G < / s t r i n g > < / k e y > < v a l u e > < i n t > 8 0 < / i n t > < / v a l u e > < / i t e m > < i t e m > < k e y > < s t r i n g > P a r t i e s   t o   t h e   f u n d i n g   a g r e e m e n t / s < / s t r i n g > < / k e y > < v a l u e > < i n t > 3 6 7 < / i n t > < / v a l u e > < / i t e m > < i t e m > < k e y > < s t r i n g > O t h e r   k e y   b e n e f i c i a r i e s < / s t r i n g > < / k e y > < v a l u e > < i n t > 2 5 8 < / i n t > < / v a l u e > < / i t e m > < i t e m > < k e y > < s t r i n g > K e y   t e r m s   a n d   c o n d i t i o n s < / s t r i n g > < / k e y > < v a l u e > < i n t > 2 7 9 < / i n t > < / v a l u e > < / i t e m > < i t e m > < k e y > < s t r i n g > D i s b u r s e m e n t s     s t a t u s < / s t r i n g > < / k e y > < v a l u e > < i n t > 2 5 1 < / i n t > < / v a l u e > < / i t e m > < i t e m > < k e y > < s t r i n g > D e s c r i p t i o n s < / s t r i n g > < / k e y > < v a l u e > < i n t > 1 6 2 < / i n t > < / v a l u e > < / i t e m > < i t e m > < k e y > < s t r i n g > F u n d i n g   g a p   a n a l y s i s < / s t r i n g > < / k e y > < v a l u e > < i n t > 2 3 7 < / i n t > < / v a l u e > < / i t e m > < i t e m > < k e y > < s t r i n g > F u n d e r / s   c o n t a c t s   ( n a m e ,   e m a i l ,   m o b i l e ) < / s t r i n g > < / k e y > < v a l u e > < i n t > 4 1 7 < / i n t > < / v a l u e > < / i t e m > < i t e m > < k e y > < s t r i n g > S A   c o n t a c t s   ( i n s t i t u t i o n ,   n a m e ,   e m a i l ,   m o b i l e ) < / s t r i n g > < / k e y > < v a l u e > < i n t > 4 6 0 < / i n t > < / v a l u e > < / i t e m > < / C o l u m n W i d t h s > < C o l u m n D i s p l a y I n d e x > < i t e m > < k e y > < s t r i n g > S e c t o r < / s t r i n g > < / k e y > < v a l u e > < i n t > 0 < / i n t > < / v a l u e > < / i t e m > < i t e m > < k e y > < s t r i n g > C a t e g o r i e s   ( I t e m ) < / s t r i n g > < / k e y > < v a l u e > < i n t > 1 < / i n t > < / v a l u e > < / i t e m > < i t e m > < k e y > < s t r i n g > A c t i v i t i e s   -   D e s c r i p t i o n s < / s t r i n g > < / k e y > < v a l u e > < i n t > 2 < / i n t > < / v a l u e > < / i t e m > < i t e m > < k e y > < s t r i n g > J E T   I P   b u d g e t   ( Z A R   b n ) < / s t r i n g > < / k e y > < v a l u e > < i n t > 3 < / i n t > < / v a l u e > < / i t e m > < i t e m > < k e y > < s t r i n g > I m p l e m e n t i n g   i n s t i t u t i o n < / s t r i n g > < / k e y > < v a l u e > < i n t > 4 < / i n t > < / v a l u e > < / i t e m > < i t e m > < k e y > < s t r i n g > F u n d e r   # < / s t r i n g > < / k e y > < v a l u e > < i n t > 5 < / i n t > < / v a l u e > < / i t e m > < i t e m > < k e y > < s t r i n g > F u n d e r < / s t r i n g > < / k e y > < v a l u e > < i n t > 6 < / i n t > < / v a l u e > < / i t e m > < i t e m > < k e y > < s t r i n g > F u n d i n g   i n s t r u m e n t / s < / s t r i n g > < / k e y > < v a l u e > < i n t > 7 < / i n t > < / v a l u e > < / i t e m > < i t e m > < k e y > < s t r i n g > U S $   ( M i l l i o n ) < / s t r i n g > < / k e y > < v a l u e > < i n t > 8 < / i n t > < / v a l u e > < / i t e m > < i t e m > < k e y > < s t r i n g > E U R     ( m ) < / s t r i n g > < / k e y > < v a l u e > < i n t > 9 < / i n t > < / v a l u e > < / i t e m > < i t e m > < k e y > < s t r i n g > Z A R   m   ( 1 7 : 1 ) < / s t r i n g > < / k e y > < v a l u e > < i n t > 1 0 < / i n t > < / v a l u e > < / i t e m > < i t e m > < k e y > < s t r i n g > Z A R   m   ( 2 0 : 1 ) < / s t r i n g > < / k e y > < v a l u e > < i n t > 1 1 < / i n t > < / v a l u e > < / i t e m > < i t e m > < k e y > < s t r i n g > T o t a l   Z A R < / s t r i n g > < / k e y > < v a l u e > < i n t > 1 2 < / i n t > < / v a l u e > < / i t e m > < i t e m > < k e y > < s t r i n g > D u r a t i o n   ( d a t e s ) :   P r o j e c t   p r e p ,   S t a r t ,   E n d < / s t r i n g > < / k e y > < v a l u e > < i n t > 1 3 < / i n t > < / v a l u e > < / i t e m > < i t e m > < k e y > < s t r i n g > I P G < / s t r i n g > < / k e y > < v a l u e > < i n t > 1 4 < / i n t > < / v a l u e > < / i t e m > < i t e m > < k e y > < s t r i n g > P a r t i e s   t o   t h e   f u n d i n g   a g r e e m e n t / s < / s t r i n g > < / k e y > < v a l u e > < i n t > 1 5 < / i n t > < / v a l u e > < / i t e m > < i t e m > < k e y > < s t r i n g > O t h e r   k e y   b e n e f i c i a r i e s < / s t r i n g > < / k e y > < v a l u e > < i n t > 1 6 < / i n t > < / v a l u e > < / i t e m > < i t e m > < k e y > < s t r i n g > K e y   t e r m s   a n d   c o n d i t i o n s < / s t r i n g > < / k e y > < v a l u e > < i n t > 1 7 < / i n t > < / v a l u e > < / i t e m > < i t e m > < k e y > < s t r i n g > D i s b u r s e m e n t s     s t a t u s < / s t r i n g > < / k e y > < v a l u e > < i n t > 1 8 < / i n t > < / v a l u e > < / i t e m > < i t e m > < k e y > < s t r i n g > D e s c r i p t i o n s < / s t r i n g > < / k e y > < v a l u e > < i n t > 1 9 < / i n t > < / v a l u e > < / i t e m > < i t e m > < k e y > < s t r i n g > F u n d i n g   g a p   a n a l y s i s < / s t r i n g > < / k e y > < v a l u e > < i n t > 2 0 < / i n t > < / v a l u e > < / i t e m > < i t e m > < k e y > < s t r i n g > F u n d e r / s   c o n t a c t s   ( n a m e ,   e m a i l ,   m o b i l e ) < / s t r i n g > < / k e y > < v a l u e > < i n t > 2 1 < / i n t > < / v a l u e > < / i t e m > < i t e m > < k e y > < s t r i n g > S A   c o n t a c t s   ( i n s t i t u t i o n ,   n a m e ,   e m a i l ,   m o b i l e ) < / s t r i n g > < / k e y > < v a l u e > < i n t > 2 2 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6.xml>��< ? x m l   v e r s i o n = " 1 . 0 "   e n c o d i n g = " U T F - 1 6 " ? > < G e m i n i   x m l n s = " h t t p : / / g e m i n i / p i v o t c u s t o m i z a t i o n / S a n d b o x N o n E m p t y " > < C u s t o m C o n t e n t > < ! [ C D A T A [ 1 ] ] > < / C u s t o m C o n t e n t > < / G e m i n i > 
</file>

<file path=customXml/item7.xml>��< ? x m l   v e r s i o n = " 1 . 0 "   e n c o d i n g = " U T F - 1 6 " ? > < G e m i n i   x m l n s = " h t t p : / / g e m i n i / p i v o t c u s t o m i z a t i o n / M a n u a l C a l c M o d e " > < C u s t o m C o n t e n t > < ! [ C D A T A [ F a l s 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 T o t a l   Z A R < / K e y > < / D i a g r a m O b j e c t K e y > < D i a g r a m O b j e c t K e y > < K e y > M e a s u r e s \ S u m   o f   T o t a l   Z A R \ T a g I n f o \ F o r m u l a < / K e y > < / D i a g r a m O b j e c t K e y > < D i a g r a m O b j e c t K e y > < K e y > M e a s u r e s \ S u m   o f   T o t a l   Z A R \ T a g I n f o \ V a l u e < / K e y > < / D i a g r a m O b j e c t K e y > < D i a g r a m O b j e c t K e y > < K e y > M e a s u r e s \ C o u n t   o f   P a r t i e s   t o   t h e   f u n d i n g   a g r e e m e n t / s < / K e y > < / D i a g r a m O b j e c t K e y > < D i a g r a m O b j e c t K e y > < K e y > M e a s u r e s \ C o u n t   o f   P a r t i e s   t o   t h e   f u n d i n g   a g r e e m e n t / s \ T a g I n f o \ F o r m u l a < / K e y > < / D i a g r a m O b j e c t K e y > < D i a g r a m O b j e c t K e y > < K e y > M e a s u r e s \ C o u n t   o f   P a r t i e s   t o   t h e   f u n d i n g   a g r e e m e n t / s \ T a g I n f o \ V a l u e < / K e y > < / D i a g r a m O b j e c t K e y > < D i a g r a m O b j e c t K e y > < K e y > M e a s u r e s \ C o u n t   o f   T o t a l   Z A R < / K e y > < / D i a g r a m O b j e c t K e y > < D i a g r a m O b j e c t K e y > < K e y > M e a s u r e s \ C o u n t   o f   T o t a l   Z A R \ T a g I n f o \ F o r m u l a < / K e y > < / D i a g r a m O b j e c t K e y > < D i a g r a m O b j e c t K e y > < K e y > M e a s u r e s \ C o u n t   o f   T o t a l   Z A R \ T a g I n f o \ V a l u e < / K e y > < / D i a g r a m O b j e c t K e y > < D i a g r a m O b j e c t K e y > < K e y > C o l u m n s \ S e c t o r < / K e y > < / D i a g r a m O b j e c t K e y > < D i a g r a m O b j e c t K e y > < K e y > C o l u m n s \ C a t e g o r i e s   ( I t e m ) < / K e y > < / D i a g r a m O b j e c t K e y > < D i a g r a m O b j e c t K e y > < K e y > C o l u m n s \ A c t i v i t i e s   -   D e s c r i p t i o n s < / K e y > < / D i a g r a m O b j e c t K e y > < D i a g r a m O b j e c t K e y > < K e y > C o l u m n s \ J E T   I P   b u d g e t   ( Z A R   b n ) < / K e y > < / D i a g r a m O b j e c t K e y > < D i a g r a m O b j e c t K e y > < K e y > C o l u m n s \ I m p l e m e n t i n g   i n s t i t u t i o n < / K e y > < / D i a g r a m O b j e c t K e y > < D i a g r a m O b j e c t K e y > < K e y > C o l u m n s \ F u n d e r   # < / K e y > < / D i a g r a m O b j e c t K e y > < D i a g r a m O b j e c t K e y > < K e y > C o l u m n s \ F u n d e r < / K e y > < / D i a g r a m O b j e c t K e y > < D i a g r a m O b j e c t K e y > < K e y > C o l u m n s \ F u n d i n g   i n s t r u m e n t / s < / K e y > < / D i a g r a m O b j e c t K e y > < D i a g r a m O b j e c t K e y > < K e y > C o l u m n s \ U S $   ( M i l l i o n ) < / K e y > < / D i a g r a m O b j e c t K e y > < D i a g r a m O b j e c t K e y > < K e y > C o l u m n s \ E U R     ( m ) < / K e y > < / D i a g r a m O b j e c t K e y > < D i a g r a m O b j e c t K e y > < K e y > C o l u m n s \ Z A R   m   ( 1 7 : 1 ) < / K e y > < / D i a g r a m O b j e c t K e y > < D i a g r a m O b j e c t K e y > < K e y > C o l u m n s \ Z A R   m   ( 2 0 : 1 ) < / K e y > < / D i a g r a m O b j e c t K e y > < D i a g r a m O b j e c t K e y > < K e y > C o l u m n s \ T o t a l   Z A R < / K e y > < / D i a g r a m O b j e c t K e y > < D i a g r a m O b j e c t K e y > < K e y > C o l u m n s \ D u r a t i o n   ( d a t e s ) :   P r o j e c t   p r e p ,   S t a r t ,   E n d < / K e y > < / D i a g r a m O b j e c t K e y > < D i a g r a m O b j e c t K e y > < K e y > C o l u m n s \ I P G < / K e y > < / D i a g r a m O b j e c t K e y > < D i a g r a m O b j e c t K e y > < K e y > C o l u m n s \ P a r t i e s   t o   t h e   f u n d i n g   a g r e e m e n t / s < / K e y > < / D i a g r a m O b j e c t K e y > < D i a g r a m O b j e c t K e y > < K e y > C o l u m n s \ O t h e r   k e y   b e n e f i c i a r i e s < / K e y > < / D i a g r a m O b j e c t K e y > < D i a g r a m O b j e c t K e y > < K e y > C o l u m n s \ K e y   t e r m s   a n d   c o n d i t i o n s < / K e y > < / D i a g r a m O b j e c t K e y > < D i a g r a m O b j e c t K e y > < K e y > C o l u m n s \ D i s b u r s e m e n t s     s t a t u s < / K e y > < / D i a g r a m O b j e c t K e y > < D i a g r a m O b j e c t K e y > < K e y > C o l u m n s \ D e s c r i p t i o n s < / K e y > < / D i a g r a m O b j e c t K e y > < D i a g r a m O b j e c t K e y > < K e y > C o l u m n s \ F u n d i n g   g a p   a n a l y s i s < / K e y > < / D i a g r a m O b j e c t K e y > < D i a g r a m O b j e c t K e y > < K e y > C o l u m n s \ F u n d e r / s   c o n t a c t s   ( n a m e ,   e m a i l ,   m o b i l e ) < / K e y > < / D i a g r a m O b j e c t K e y > < D i a g r a m O b j e c t K e y > < K e y > C o l u m n s \ S A   c o n t a c t s   ( i n s t i t u t i o n ,   n a m e ,   e m a i l ,   m o b i l e ) < / K e y > < / D i a g r a m O b j e c t K e y > < D i a g r a m O b j e c t K e y > < K e y > M e a s u r e s \ M e a s u r e   1 < / K e y > < / D i a g r a m O b j e c t K e y > < D i a g r a m O b j e c t K e y > < K e y > M e a s u r e s \ M e a s u r e   1 \ T a g I n f o \ F o r m u l a < / K e y > < / D i a g r a m O b j e c t K e y > < D i a g r a m O b j e c t K e y > < K e y > M e a s u r e s \ M e a s u r e   1 \ T a g I n f o \ V a l u e < / K e y > < / D i a g r a m O b j e c t K e y > < D i a g r a m O b j e c t K e y > < K e y > L i n k s \ & l t ; C o l u m n s \ S u m   o f   T o t a l   Z A R & g t ; - & l t ; M e a s u r e s \ T o t a l   Z A R & g t ; < / K e y > < / D i a g r a m O b j e c t K e y > < D i a g r a m O b j e c t K e y > < K e y > L i n k s \ & l t ; C o l u m n s \ S u m   o f   T o t a l   Z A R & g t ; - & l t ; M e a s u r e s \ T o t a l   Z A R & g t ; \ C O L U M N < / K e y > < / D i a g r a m O b j e c t K e y > < D i a g r a m O b j e c t K e y > < K e y > L i n k s \ & l t ; C o l u m n s \ S u m   o f   T o t a l   Z A R & g t ; - & l t ; M e a s u r e s \ T o t a l   Z A R & g t ; \ M E A S U R E < / K e y > < / D i a g r a m O b j e c t K e y > < D i a g r a m O b j e c t K e y > < K e y > L i n k s \ & l t ; C o l u m n s \ C o u n t   o f   P a r t i e s   t o   t h e   f u n d i n g   a g r e e m e n t / s & g t ; - & l t ; M e a s u r e s \ P a r t i e s   t o   t h e   f u n d i n g   a g r e e m e n t / s & g t ; < / K e y > < / D i a g r a m O b j e c t K e y > < D i a g r a m O b j e c t K e y > < K e y > L i n k s \ & l t ; C o l u m n s \ C o u n t   o f   P a r t i e s   t o   t h e   f u n d i n g   a g r e e m e n t / s & g t ; - & l t ; M e a s u r e s \ P a r t i e s   t o   t h e   f u n d i n g   a g r e e m e n t / s & g t ; \ C O L U M N < / K e y > < / D i a g r a m O b j e c t K e y > < D i a g r a m O b j e c t K e y > < K e y > L i n k s \ & l t ; C o l u m n s \ C o u n t   o f   P a r t i e s   t o   t h e   f u n d i n g   a g r e e m e n t / s & g t ; - & l t ; M e a s u r e s \ P a r t i e s   t o   t h e   f u n d i n g   a g r e e m e n t / s & g t ; \ M E A S U R E < / K e y > < / D i a g r a m O b j e c t K e y > < D i a g r a m O b j e c t K e y > < K e y > L i n k s \ & l t ; C o l u m n s \ C o u n t   o f   T o t a l   Z A R & g t ; - & l t ; M e a s u r e s \ T o t a l   Z A R & g t ; < / K e y > < / D i a g r a m O b j e c t K e y > < D i a g r a m O b j e c t K e y > < K e y > L i n k s \ & l t ; C o l u m n s \ C o u n t   o f   T o t a l   Z A R & g t ; - & l t ; M e a s u r e s \ T o t a l   Z A R & g t ; \ C O L U M N < / K e y > < / D i a g r a m O b j e c t K e y > < D i a g r a m O b j e c t K e y > < K e y > L i n k s \ & l t ; C o l u m n s \ C o u n t   o f   T o t a l   Z A R & g t ; - & l t ; M e a s u r e s \ T o t a l   Z A R & g t ; \ M E A S U R E 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 1 2 < / F o c u s C o l u m n > < S e l e c t i o n E n d C o l u m n > 1 2 < / S e l e c t i o n E n d C o l u m n > < S e l e c t i o n S t a r t C o l u m n > 1 2 < / S e l e c t i o n S t a r t C o l u m n > < 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 T o t a l   Z A R < / K e y > < / a : K e y > < a : V a l u e   i : t y p e = " M e a s u r e G r i d N o d e V i e w S t a t e " > < C o l u m n > 1 2 < / C o l u m n > < L a y e d O u t > t r u e < / L a y e d O u t > < W a s U I I n v i s i b l e > t r u e < / W a s U I I n v i s i b l e > < / a : V a l u e > < / a : K e y V a l u e O f D i a g r a m O b j e c t K e y a n y T y p e z b w N T n L X > < a : K e y V a l u e O f D i a g r a m O b j e c t K e y a n y T y p e z b w N T n L X > < a : K e y > < K e y > M e a s u r e s \ S u m   o f   T o t a l   Z A R \ T a g I n f o \ F o r m u l a < / K e y > < / a : K e y > < a : V a l u e   i : t y p e = " M e a s u r e G r i d V i e w S t a t e I D i a g r a m T a g A d d i t i o n a l I n f o " / > < / a : K e y V a l u e O f D i a g r a m O b j e c t K e y a n y T y p e z b w N T n L X > < a : K e y V a l u e O f D i a g r a m O b j e c t K e y a n y T y p e z b w N T n L X > < a : K e y > < K e y > M e a s u r e s \ S u m   o f   T o t a l   Z A R \ T a g I n f o \ V a l u e < / K e y > < / a : K e y > < a : V a l u e   i : t y p e = " M e a s u r e G r i d V i e w S t a t e I D i a g r a m T a g A d d i t i o n a l I n f o " / > < / a : K e y V a l u e O f D i a g r a m O b j e c t K e y a n y T y p e z b w N T n L X > < a : K e y V a l u e O f D i a g r a m O b j e c t K e y a n y T y p e z b w N T n L X > < a : K e y > < K e y > M e a s u r e s \ C o u n t   o f   P a r t i e s   t o   t h e   f u n d i n g   a g r e e m e n t / s < / K e y > < / a : K e y > < a : V a l u e   i : t y p e = " M e a s u r e G r i d N o d e V i e w S t a t e " > < C o l u m n > 1 5 < / C o l u m n > < L a y e d O u t > t r u e < / L a y e d O u t > < W a s U I I n v i s i b l e > t r u e < / W a s U I I n v i s i b l e > < / a : V a l u e > < / a : K e y V a l u e O f D i a g r a m O b j e c t K e y a n y T y p e z b w N T n L X > < a : K e y V a l u e O f D i a g r a m O b j e c t K e y a n y T y p e z b w N T n L X > < a : K e y > < K e y > M e a s u r e s \ C o u n t   o f   P a r t i e s   t o   t h e   f u n d i n g   a g r e e m e n t / s \ T a g I n f o \ F o r m u l a < / K e y > < / a : K e y > < a : V a l u e   i : t y p e = " M e a s u r e G r i d V i e w S t a t e I D i a g r a m T a g A d d i t i o n a l I n f o " / > < / a : K e y V a l u e O f D i a g r a m O b j e c t K e y a n y T y p e z b w N T n L X > < a : K e y V a l u e O f D i a g r a m O b j e c t K e y a n y T y p e z b w N T n L X > < a : K e y > < K e y > M e a s u r e s \ C o u n t   o f   P a r t i e s   t o   t h e   f u n d i n g   a g r e e m e n t / s \ T a g I n f o \ V a l u e < / K e y > < / a : K e y > < a : V a l u e   i : t y p e = " M e a s u r e G r i d V i e w S t a t e I D i a g r a m T a g A d d i t i o n a l I n f o " / > < / a : K e y V a l u e O f D i a g r a m O b j e c t K e y a n y T y p e z b w N T n L X > < a : K e y V a l u e O f D i a g r a m O b j e c t K e y a n y T y p e z b w N T n L X > < a : K e y > < K e y > M e a s u r e s \ C o u n t   o f   T o t a l   Z A R < / K e y > < / a : K e y > < a : V a l u e   i : t y p e = " M e a s u r e G r i d N o d e V i e w S t a t e " > < C o l u m n > 1 2 < / C o l u m n > < L a y e d O u t > t r u e < / L a y e d O u t > < R o w > 1 < / R o w > < W a s U I I n v i s i b l e > t r u e < / W a s U I I n v i s i b l e > < / a : V a l u e > < / a : K e y V a l u e O f D i a g r a m O b j e c t K e y a n y T y p e z b w N T n L X > < a : K e y V a l u e O f D i a g r a m O b j e c t K e y a n y T y p e z b w N T n L X > < a : K e y > < K e y > M e a s u r e s \ C o u n t   o f   T o t a l   Z A R \ T a g I n f o \ F o r m u l a < / K e y > < / a : K e y > < a : V a l u e   i : t y p e = " M e a s u r e G r i d V i e w S t a t e I D i a g r a m T a g A d d i t i o n a l I n f o " / > < / a : K e y V a l u e O f D i a g r a m O b j e c t K e y a n y T y p e z b w N T n L X > < a : K e y V a l u e O f D i a g r a m O b j e c t K e y a n y T y p e z b w N T n L X > < a : K e y > < K e y > M e a s u r e s \ C o u n t   o f   T o t a l   Z A R \ T a g I n f o \ V a l u e < / K e y > < / a : K e y > < a : V a l u e   i : t y p e = " M e a s u r e G r i d V i e w S t a t e I D i a g r a m T a g A d d i t i o n a l I n f o " / > < / a : K e y V a l u e O f D i a g r a m O b j e c t K e y a n y T y p e z b w N T n L X > < a : K e y V a l u e O f D i a g r a m O b j e c t K e y a n y T y p e z b w N T n L X > < a : K e y > < K e y > C o l u m n s \ S e c t o r < / K e y > < / a : K e y > < a : V a l u e   i : t y p e = " M e a s u r e G r i d N o d e V i e w S t a t e " > < L a y e d O u t > t r u e < / L a y e d O u t > < / a : V a l u e > < / a : K e y V a l u e O f D i a g r a m O b j e c t K e y a n y T y p e z b w N T n L X > < a : K e y V a l u e O f D i a g r a m O b j e c t K e y a n y T y p e z b w N T n L X > < a : K e y > < K e y > C o l u m n s \ C a t e g o r i e s   ( I t e m ) < / K e y > < / a : K e y > < a : V a l u e   i : t y p e = " M e a s u r e G r i d N o d e V i e w S t a t e " > < C o l u m n > 1 < / C o l u m n > < L a y e d O u t > t r u e < / L a y e d O u t > < / a : V a l u e > < / a : K e y V a l u e O f D i a g r a m O b j e c t K e y a n y T y p e z b w N T n L X > < a : K e y V a l u e O f D i a g r a m O b j e c t K e y a n y T y p e z b w N T n L X > < a : K e y > < K e y > C o l u m n s \ A c t i v i t i e s   -   D e s c r i p t i o n s < / K e y > < / a : K e y > < a : V a l u e   i : t y p e = " M e a s u r e G r i d N o d e V i e w S t a t e " > < C o l u m n > 2 < / C o l u m n > < L a y e d O u t > t r u e < / L a y e d O u t > < / a : V a l u e > < / a : K e y V a l u e O f D i a g r a m O b j e c t K e y a n y T y p e z b w N T n L X > < a : K e y V a l u e O f D i a g r a m O b j e c t K e y a n y T y p e z b w N T n L X > < a : K e y > < K e y > C o l u m n s \ J E T   I P   b u d g e t   ( Z A R   b n ) < / K e y > < / a : K e y > < a : V a l u e   i : t y p e = " M e a s u r e G r i d N o d e V i e w S t a t e " > < C o l u m n > 3 < / C o l u m n > < L a y e d O u t > t r u e < / L a y e d O u t > < / a : V a l u e > < / a : K e y V a l u e O f D i a g r a m O b j e c t K e y a n y T y p e z b w N T n L X > < a : K e y V a l u e O f D i a g r a m O b j e c t K e y a n y T y p e z b w N T n L X > < a : K e y > < K e y > C o l u m n s \ I m p l e m e n t i n g   i n s t i t u t i o n < / K e y > < / a : K e y > < a : V a l u e   i : t y p e = " M e a s u r e G r i d N o d e V i e w S t a t e " > < C o l u m n > 4 < / C o l u m n > < L a y e d O u t > t r u e < / L a y e d O u t > < / a : V a l u e > < / a : K e y V a l u e O f D i a g r a m O b j e c t K e y a n y T y p e z b w N T n L X > < a : K e y V a l u e O f D i a g r a m O b j e c t K e y a n y T y p e z b w N T n L X > < a : K e y > < K e y > C o l u m n s \ F u n d e r   # < / K e y > < / a : K e y > < a : V a l u e   i : t y p e = " M e a s u r e G r i d N o d e V i e w S t a t e " > < C o l u m n > 5 < / C o l u m n > < L a y e d O u t > t r u e < / L a y e d O u t > < / a : V a l u e > < / a : K e y V a l u e O f D i a g r a m O b j e c t K e y a n y T y p e z b w N T n L X > < a : K e y V a l u e O f D i a g r a m O b j e c t K e y a n y T y p e z b w N T n L X > < a : K e y > < K e y > C o l u m n s \ F u n d e r < / K e y > < / a : K e y > < a : V a l u e   i : t y p e = " M e a s u r e G r i d N o d e V i e w S t a t e " > < C o l u m n > 6 < / C o l u m n > < L a y e d O u t > t r u e < / L a y e d O u t > < / a : V a l u e > < / a : K e y V a l u e O f D i a g r a m O b j e c t K e y a n y T y p e z b w N T n L X > < a : K e y V a l u e O f D i a g r a m O b j e c t K e y a n y T y p e z b w N T n L X > < a : K e y > < K e y > C o l u m n s \ F u n d i n g   i n s t r u m e n t / s < / K e y > < / a : K e y > < a : V a l u e   i : t y p e = " M e a s u r e G r i d N o d e V i e w S t a t e " > < C o l u m n > 7 < / C o l u m n > < L a y e d O u t > t r u e < / L a y e d O u t > < / a : V a l u e > < / a : K e y V a l u e O f D i a g r a m O b j e c t K e y a n y T y p e z b w N T n L X > < a : K e y V a l u e O f D i a g r a m O b j e c t K e y a n y T y p e z b w N T n L X > < a : K e y > < K e y > C o l u m n s \ U S $   ( M i l l i o n ) < / K e y > < / a : K e y > < a : V a l u e   i : t y p e = " M e a s u r e G r i d N o d e V i e w S t a t e " > < C o l u m n > 8 < / C o l u m n > < L a y e d O u t > t r u e < / L a y e d O u t > < / a : V a l u e > < / a : K e y V a l u e O f D i a g r a m O b j e c t K e y a n y T y p e z b w N T n L X > < a : K e y V a l u e O f D i a g r a m O b j e c t K e y a n y T y p e z b w N T n L X > < a : K e y > < K e y > C o l u m n s \ E U R     ( m ) < / K e y > < / a : K e y > < a : V a l u e   i : t y p e = " M e a s u r e G r i d N o d e V i e w S t a t e " > < C o l u m n > 9 < / C o l u m n > < L a y e d O u t > t r u e < / L a y e d O u t > < / a : V a l u e > < / a : K e y V a l u e O f D i a g r a m O b j e c t K e y a n y T y p e z b w N T n L X > < a : K e y V a l u e O f D i a g r a m O b j e c t K e y a n y T y p e z b w N T n L X > < a : K e y > < K e y > C o l u m n s \ Z A R   m   ( 1 7 : 1 ) < / K e y > < / a : K e y > < a : V a l u e   i : t y p e = " M e a s u r e G r i d N o d e V i e w S t a t e " > < C o l u m n > 1 0 < / C o l u m n > < L a y e d O u t > t r u e < / L a y e d O u t > < / a : V a l u e > < / a : K e y V a l u e O f D i a g r a m O b j e c t K e y a n y T y p e z b w N T n L X > < a : K e y V a l u e O f D i a g r a m O b j e c t K e y a n y T y p e z b w N T n L X > < a : K e y > < K e y > C o l u m n s \ Z A R   m   ( 2 0 : 1 ) < / K e y > < / a : K e y > < a : V a l u e   i : t y p e = " M e a s u r e G r i d N o d e V i e w S t a t e " > < C o l u m n > 1 1 < / C o l u m n > < L a y e d O u t > t r u e < / L a y e d O u t > < / a : V a l u e > < / a : K e y V a l u e O f D i a g r a m O b j e c t K e y a n y T y p e z b w N T n L X > < a : K e y V a l u e O f D i a g r a m O b j e c t K e y a n y T y p e z b w N T n L X > < a : K e y > < K e y > C o l u m n s \ T o t a l   Z A R < / K e y > < / a : K e y > < a : V a l u e   i : t y p e = " M e a s u r e G r i d N o d e V i e w S t a t e " > < C o l u m n > 1 2 < / C o l u m n > < L a y e d O u t > t r u e < / L a y e d O u t > < / a : V a l u e > < / a : K e y V a l u e O f D i a g r a m O b j e c t K e y a n y T y p e z b w N T n L X > < a : K e y V a l u e O f D i a g r a m O b j e c t K e y a n y T y p e z b w N T n L X > < a : K e y > < K e y > C o l u m n s \ D u r a t i o n   ( d a t e s ) :   P r o j e c t   p r e p ,   S t a r t ,   E n d < / K e y > < / a : K e y > < a : V a l u e   i : t y p e = " M e a s u r e G r i d N o d e V i e w S t a t e " > < C o l u m n > 1 3 < / C o l u m n > < L a y e d O u t > t r u e < / L a y e d O u t > < / a : V a l u e > < / a : K e y V a l u e O f D i a g r a m O b j e c t K e y a n y T y p e z b w N T n L X > < a : K e y V a l u e O f D i a g r a m O b j e c t K e y a n y T y p e z b w N T n L X > < a : K e y > < K e y > C o l u m n s \ I P G < / K e y > < / a : K e y > < a : V a l u e   i : t y p e = " M e a s u r e G r i d N o d e V i e w S t a t e " > < C o l u m n > 1 4 < / C o l u m n > < L a y e d O u t > t r u e < / L a y e d O u t > < / a : V a l u e > < / a : K e y V a l u e O f D i a g r a m O b j e c t K e y a n y T y p e z b w N T n L X > < a : K e y V a l u e O f D i a g r a m O b j e c t K e y a n y T y p e z b w N T n L X > < a : K e y > < K e y > C o l u m n s \ P a r t i e s   t o   t h e   f u n d i n g   a g r e e m e n t / s < / K e y > < / a : K e y > < a : V a l u e   i : t y p e = " M e a s u r e G r i d N o d e V i e w S t a t e " > < C o l u m n > 1 5 < / C o l u m n > < L a y e d O u t > t r u e < / L a y e d O u t > < / a : V a l u e > < / a : K e y V a l u e O f D i a g r a m O b j e c t K e y a n y T y p e z b w N T n L X > < a : K e y V a l u e O f D i a g r a m O b j e c t K e y a n y T y p e z b w N T n L X > < a : K e y > < K e y > C o l u m n s \ O t h e r   k e y   b e n e f i c i a r i e s < / K e y > < / a : K e y > < a : V a l u e   i : t y p e = " M e a s u r e G r i d N o d e V i e w S t a t e " > < C o l u m n > 1 6 < / C o l u m n > < L a y e d O u t > t r u e < / L a y e d O u t > < / a : V a l u e > < / a : K e y V a l u e O f D i a g r a m O b j e c t K e y a n y T y p e z b w N T n L X > < a : K e y V a l u e O f D i a g r a m O b j e c t K e y a n y T y p e z b w N T n L X > < a : K e y > < K e y > C o l u m n s \ K e y   t e r m s   a n d   c o n d i t i o n s < / K e y > < / a : K e y > < a : V a l u e   i : t y p e = " M e a s u r e G r i d N o d e V i e w S t a t e " > < C o l u m n > 1 7 < / C o l u m n > < L a y e d O u t > t r u e < / L a y e d O u t > < / a : V a l u e > < / a : K e y V a l u e O f D i a g r a m O b j e c t K e y a n y T y p e z b w N T n L X > < a : K e y V a l u e O f D i a g r a m O b j e c t K e y a n y T y p e z b w N T n L X > < a : K e y > < K e y > C o l u m n s \ D i s b u r s e m e n t s     s t a t u s < / K e y > < / a : K e y > < a : V a l u e   i : t y p e = " M e a s u r e G r i d N o d e V i e w S t a t e " > < C o l u m n > 1 8 < / C o l u m n > < L a y e d O u t > t r u e < / L a y e d O u t > < / a : V a l u e > < / a : K e y V a l u e O f D i a g r a m O b j e c t K e y a n y T y p e z b w N T n L X > < a : K e y V a l u e O f D i a g r a m O b j e c t K e y a n y T y p e z b w N T n L X > < a : K e y > < K e y > C o l u m n s \ D e s c r i p t i o n s < / K e y > < / a : K e y > < a : V a l u e   i : t y p e = " M e a s u r e G r i d N o d e V i e w S t a t e " > < C o l u m n > 1 9 < / C o l u m n > < L a y e d O u t > t r u e < / L a y e d O u t > < / a : V a l u e > < / a : K e y V a l u e O f D i a g r a m O b j e c t K e y a n y T y p e z b w N T n L X > < a : K e y V a l u e O f D i a g r a m O b j e c t K e y a n y T y p e z b w N T n L X > < a : K e y > < K e y > C o l u m n s \ F u n d i n g   g a p   a n a l y s i s < / K e y > < / a : K e y > < a : V a l u e   i : t y p e = " M e a s u r e G r i d N o d e V i e w S t a t e " > < C o l u m n > 2 0 < / C o l u m n > < L a y e d O u t > t r u e < / L a y e d O u t > < / a : V a l u e > < / a : K e y V a l u e O f D i a g r a m O b j e c t K e y a n y T y p e z b w N T n L X > < a : K e y V a l u e O f D i a g r a m O b j e c t K e y a n y T y p e z b w N T n L X > < a : K e y > < K e y > C o l u m n s \ F u n d e r / s   c o n t a c t s   ( n a m e ,   e m a i l ,   m o b i l e ) < / K e y > < / a : K e y > < a : V a l u e   i : t y p e = " M e a s u r e G r i d N o d e V i e w S t a t e " > < C o l u m n > 2 1 < / C o l u m n > < L a y e d O u t > t r u e < / L a y e d O u t > < / a : V a l u e > < / a : K e y V a l u e O f D i a g r a m O b j e c t K e y a n y T y p e z b w N T n L X > < a : K e y V a l u e O f D i a g r a m O b j e c t K e y a n y T y p e z b w N T n L X > < a : K e y > < K e y > C o l u m n s \ S A   c o n t a c t s   ( i n s t i t u t i o n ,   n a m e ,   e m a i l ,   m o b i l e ) < / K e y > < / a : K e y > < a : V a l u e   i : t y p e = " M e a s u r e G r i d N o d e V i e w S t a t e " > < C o l u m n > 2 2 < / C o l u m n > < L a y e d O u t > t r u e < / L a y e d O u t > < / a : V a l u e > < / a : K e y V a l u e O f D i a g r a m O b j e c t K e y a n y T y p e z b w N T n L X > < a : K e y V a l u e O f D i a g r a m O b j e c t K e y a n y T y p e z b w N T n L X > < a : K e y > < K e y > M e a s u r e s \ M e a s u r e   1 < / K e y > < / a : K e y > < a : V a l u e   i : t y p e = " M e a s u r e G r i d N o d e V i e w S t a t e " > < C o l u m n > 1 2 < / C o l u m n > < L a y e d O u t > t r u e < / L a y e d O u t > < / a : V a l u e > < / a : K e y V a l u e O f D i a g r a m O b j e c t K e y a n y T y p e z b w N T n L X > < a : K e y V a l u e O f D i a g r a m O b j e c t K e y a n y T y p e z b w N T n L X > < a : K e y > < K e y > M e a s u r e s \ M e a s u r e   1 \ T a g I n f o \ F o r m u l a < / K e y > < / a : K e y > < a : V a l u e   i : t y p e = " M e a s u r e G r i d V i e w S t a t e I D i a g r a m T a g A d d i t i o n a l I n f o " / > < / a : K e y V a l u e O f D i a g r a m O b j e c t K e y a n y T y p e z b w N T n L X > < a : K e y V a l u e O f D i a g r a m O b j e c t K e y a n y T y p e z b w N T n L X > < a : K e y > < K e y > M e a s u r e s \ M e a s u r e   1 \ T a g I n f o \ V a l u e < / K e y > < / a : K e y > < a : V a l u e   i : t y p e = " M e a s u r e G r i d V i e w S t a t e I D i a g r a m T a g A d d i t i o n a l I n f o " / > < / a : K e y V a l u e O f D i a g r a m O b j e c t K e y a n y T y p e z b w N T n L X > < a : K e y V a l u e O f D i a g r a m O b j e c t K e y a n y T y p e z b w N T n L X > < a : K e y > < K e y > L i n k s \ & l t ; C o l u m n s \ S u m   o f   T o t a l   Z A R & g t ; - & l t ; M e a s u r e s \ T o t a l   Z A R & g t ; < / K e y > < / a : K e y > < a : V a l u e   i : t y p e = " M e a s u r e G r i d V i e w S t a t e I D i a g r a m L i n k " / > < / a : K e y V a l u e O f D i a g r a m O b j e c t K e y a n y T y p e z b w N T n L X > < a : K e y V a l u e O f D i a g r a m O b j e c t K e y a n y T y p e z b w N T n L X > < a : K e y > < K e y > L i n k s \ & l t ; C o l u m n s \ S u m   o f   T o t a l   Z A R & g t ; - & l t ; M e a s u r e s \ T o t a l   Z A R & g t ; \ C O L U M N < / K e y > < / a : K e y > < a : V a l u e   i : t y p e = " M e a s u r e G r i d V i e w S t a t e I D i a g r a m L i n k E n d p o i n t " / > < / a : K e y V a l u e O f D i a g r a m O b j e c t K e y a n y T y p e z b w N T n L X > < a : K e y V a l u e O f D i a g r a m O b j e c t K e y a n y T y p e z b w N T n L X > < a : K e y > < K e y > L i n k s \ & l t ; C o l u m n s \ S u m   o f   T o t a l   Z A R & g t ; - & l t ; M e a s u r e s \ T o t a l   Z A R & g t ; \ M E A S U R E < / K e y > < / a : K e y > < a : V a l u e   i : t y p e = " M e a s u r e G r i d V i e w S t a t e I D i a g r a m L i n k E n d p o i n t " / > < / a : K e y V a l u e O f D i a g r a m O b j e c t K e y a n y T y p e z b w N T n L X > < a : K e y V a l u e O f D i a g r a m O b j e c t K e y a n y T y p e z b w N T n L X > < a : K e y > < K e y > L i n k s \ & l t ; C o l u m n s \ C o u n t   o f   P a r t i e s   t o   t h e   f u n d i n g   a g r e e m e n t / s & g t ; - & l t ; M e a s u r e s \ P a r t i e s   t o   t h e   f u n d i n g   a g r e e m e n t / s & g t ; < / K e y > < / a : K e y > < a : V a l u e   i : t y p e = " M e a s u r e G r i d V i e w S t a t e I D i a g r a m L i n k " / > < / a : K e y V a l u e O f D i a g r a m O b j e c t K e y a n y T y p e z b w N T n L X > < a : K e y V a l u e O f D i a g r a m O b j e c t K e y a n y T y p e z b w N T n L X > < a : K e y > < K e y > L i n k s \ & l t ; C o l u m n s \ C o u n t   o f   P a r t i e s   t o   t h e   f u n d i n g   a g r e e m e n t / s & g t ; - & l t ; M e a s u r e s \ P a r t i e s   t o   t h e   f u n d i n g   a g r e e m e n t / s & g t ; \ C O L U M N < / K e y > < / a : K e y > < a : V a l u e   i : t y p e = " M e a s u r e G r i d V i e w S t a t e I D i a g r a m L i n k E n d p o i n t " / > < / a : K e y V a l u e O f D i a g r a m O b j e c t K e y a n y T y p e z b w N T n L X > < a : K e y V a l u e O f D i a g r a m O b j e c t K e y a n y T y p e z b w N T n L X > < a : K e y > < K e y > L i n k s \ & l t ; C o l u m n s \ C o u n t   o f   P a r t i e s   t o   t h e   f u n d i n g   a g r e e m e n t / s & g t ; - & l t ; M e a s u r e s \ P a r t i e s   t o   t h e   f u n d i n g   a g r e e m e n t / s & g t ; \ M E A S U R E < / K e y > < / a : K e y > < a : V a l u e   i : t y p e = " M e a s u r e G r i d V i e w S t a t e I D i a g r a m L i n k E n d p o i n t " / > < / a : K e y V a l u e O f D i a g r a m O b j e c t K e y a n y T y p e z b w N T n L X > < a : K e y V a l u e O f D i a g r a m O b j e c t K e y a n y T y p e z b w N T n L X > < a : K e y > < K e y > L i n k s \ & l t ; C o l u m n s \ C o u n t   o f   T o t a l   Z A R & g t ; - & l t ; M e a s u r e s \ T o t a l   Z A R & g t ; < / K e y > < / a : K e y > < a : V a l u e   i : t y p e = " M e a s u r e G r i d V i e w S t a t e I D i a g r a m L i n k " / > < / a : K e y V a l u e O f D i a g r a m O b j e c t K e y a n y T y p e z b w N T n L X > < a : K e y V a l u e O f D i a g r a m O b j e c t K e y a n y T y p e z b w N T n L X > < a : K e y > < K e y > L i n k s \ & l t ; C o l u m n s \ C o u n t   o f   T o t a l   Z A R & g t ; - & l t ; M e a s u r e s \ T o t a l   Z A R & g t ; \ C O L U M N < / K e y > < / a : K e y > < a : V a l u e   i : t y p e = " M e a s u r e G r i d V i e w S t a t e I D i a g r a m L i n k E n d p o i n t " / > < / a : K e y V a l u e O f D i a g r a m O b j e c t K e y a n y T y p e z b w N T n L X > < a : K e y V a l u e O f D i a g r a m O b j e c t K e y a n y T y p e z b w N T n L X > < a : K e y > < K e y > L i n k s \ & l t ; C o l u m n s \ C o u n t   o f   T o t a l   Z A R & g t ; - & l t ; M e a s u r e s \ T o t a l   Z A R & g t ; \ M E A S U R E 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90625675-9E27-4AB4-BB9A-865188C6A23C}">
  <ds:schemaRefs/>
</ds:datastoreItem>
</file>

<file path=customXml/itemProps10.xml><?xml version="1.0" encoding="utf-8"?>
<ds:datastoreItem xmlns:ds="http://schemas.openxmlformats.org/officeDocument/2006/customXml" ds:itemID="{C2A00F45-4ED8-4A4D-869E-1FA60D491749}">
  <ds:schemaRefs/>
</ds:datastoreItem>
</file>

<file path=customXml/itemProps11.xml><?xml version="1.0" encoding="utf-8"?>
<ds:datastoreItem xmlns:ds="http://schemas.openxmlformats.org/officeDocument/2006/customXml" ds:itemID="{E03DAA31-3267-4D90-BE3F-6EBF6D566ED8}">
  <ds:schemaRefs/>
</ds:datastoreItem>
</file>

<file path=customXml/itemProps12.xml><?xml version="1.0" encoding="utf-8"?>
<ds:datastoreItem xmlns:ds="http://schemas.openxmlformats.org/officeDocument/2006/customXml" ds:itemID="{F8BB1848-F1E3-4766-9B7E-484CFE06BA8E}">
  <ds:schemaRefs/>
</ds:datastoreItem>
</file>

<file path=customXml/itemProps13.xml><?xml version="1.0" encoding="utf-8"?>
<ds:datastoreItem xmlns:ds="http://schemas.openxmlformats.org/officeDocument/2006/customXml" ds:itemID="{B9680DA7-27D5-4727-BA74-6B0A8916A426}">
  <ds:schemaRefs/>
</ds:datastoreItem>
</file>

<file path=customXml/itemProps14.xml><?xml version="1.0" encoding="utf-8"?>
<ds:datastoreItem xmlns:ds="http://schemas.openxmlformats.org/officeDocument/2006/customXml" ds:itemID="{4114CBB6-5D38-4224-95D4-52AF127AB5B5}">
  <ds:schemaRefs/>
</ds:datastoreItem>
</file>

<file path=customXml/itemProps15.xml><?xml version="1.0" encoding="utf-8"?>
<ds:datastoreItem xmlns:ds="http://schemas.openxmlformats.org/officeDocument/2006/customXml" ds:itemID="{C02A0CCF-8A71-4C73-AC9D-0A819FE219EE}">
  <ds:schemaRefs/>
</ds:datastoreItem>
</file>

<file path=customXml/itemProps16.xml><?xml version="1.0" encoding="utf-8"?>
<ds:datastoreItem xmlns:ds="http://schemas.openxmlformats.org/officeDocument/2006/customXml" ds:itemID="{B063B170-054F-4526-9FCE-EE9B20EE1AF6}">
  <ds:schemaRefs/>
</ds:datastoreItem>
</file>

<file path=customXml/itemProps2.xml><?xml version="1.0" encoding="utf-8"?>
<ds:datastoreItem xmlns:ds="http://schemas.openxmlformats.org/officeDocument/2006/customXml" ds:itemID="{EAAA6CCE-6E05-4098-9C7C-9A61D43FB0D5}">
  <ds:schemaRefs/>
</ds:datastoreItem>
</file>

<file path=customXml/itemProps3.xml><?xml version="1.0" encoding="utf-8"?>
<ds:datastoreItem xmlns:ds="http://schemas.openxmlformats.org/officeDocument/2006/customXml" ds:itemID="{CC064C01-2AF0-4233-8FA7-44D53D8CA0BF}">
  <ds:schemaRefs/>
</ds:datastoreItem>
</file>

<file path=customXml/itemProps4.xml><?xml version="1.0" encoding="utf-8"?>
<ds:datastoreItem xmlns:ds="http://schemas.openxmlformats.org/officeDocument/2006/customXml" ds:itemID="{C1910145-F857-4BF8-A000-8453AAC1BFD0}">
  <ds:schemaRefs/>
</ds:datastoreItem>
</file>

<file path=customXml/itemProps5.xml><?xml version="1.0" encoding="utf-8"?>
<ds:datastoreItem xmlns:ds="http://schemas.openxmlformats.org/officeDocument/2006/customXml" ds:itemID="{6781ABD2-B154-4475-B831-317736BFFA10}">
  <ds:schemaRefs/>
</ds:datastoreItem>
</file>

<file path=customXml/itemProps6.xml><?xml version="1.0" encoding="utf-8"?>
<ds:datastoreItem xmlns:ds="http://schemas.openxmlformats.org/officeDocument/2006/customXml" ds:itemID="{D4D65A11-91B2-4B64-98F5-1F8F14FD7B38}">
  <ds:schemaRefs/>
</ds:datastoreItem>
</file>

<file path=customXml/itemProps7.xml><?xml version="1.0" encoding="utf-8"?>
<ds:datastoreItem xmlns:ds="http://schemas.openxmlformats.org/officeDocument/2006/customXml" ds:itemID="{067507E6-9D35-466A-A8AD-ED0A19BFB5FE}">
  <ds:schemaRefs/>
</ds:datastoreItem>
</file>

<file path=customXml/itemProps8.xml><?xml version="1.0" encoding="utf-8"?>
<ds:datastoreItem xmlns:ds="http://schemas.openxmlformats.org/officeDocument/2006/customXml" ds:itemID="{F645A1EE-1688-41E7-8DD6-207ABB7C7AB7}">
  <ds:schemaRefs/>
</ds:datastoreItem>
</file>

<file path=customXml/itemProps9.xml><?xml version="1.0" encoding="utf-8"?>
<ds:datastoreItem xmlns:ds="http://schemas.openxmlformats.org/officeDocument/2006/customXml" ds:itemID="{3697FE7C-113C-4590-95B7-EAF49413870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PivotTables</vt:lpstr>
      <vt:lpstr>Analysis - Dashboard</vt:lpstr>
      <vt:lpstr>DataTable - Overall </vt:lpstr>
      <vt:lpstr>EU-Register</vt:lpstr>
      <vt:lpstr>UK-Register</vt:lpstr>
      <vt:lpstr>GER-Register</vt:lpstr>
      <vt:lpstr>FR-Register</vt:lpstr>
      <vt:lpstr>US-Register</vt:lpstr>
      <vt:lpstr>ACTIP-Register</vt:lpstr>
      <vt:lpstr>DK-Register</vt:lpstr>
      <vt:lpstr>NL-Register</vt:lpstr>
      <vt:lpstr>CAN-Register</vt:lpstr>
      <vt:lpstr>Swiss-Register</vt:lpstr>
      <vt:lpstr>Dropdowns</vt:lpstr>
      <vt:lpstr>Financing 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Ollie Madlala</cp:lastModifiedBy>
  <dcterms:created xsi:type="dcterms:W3CDTF">2023-07-03T08:31:48Z</dcterms:created>
  <dcterms:modified xsi:type="dcterms:W3CDTF">2024-11-14T13:13:31Z</dcterms:modified>
</cp:coreProperties>
</file>